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nt7Go1+08Wiz05ilz74TdGGEQ9WhpXbImSZPG42HWCGhnSEbimKRT6CrZT7AKq6O3ti8CxlmX5UOyIY4S6aMQ==" workbookSaltValue="5zbFKI2SOmjnCNvbC+kp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AQ20" i="21"/>
  <c r="AI20" i="20"/>
  <c r="AF20" i="20"/>
  <c r="AX20" i="20"/>
  <c r="AZ20" i="20"/>
  <c r="AG20" i="20"/>
  <c r="AC20" i="20"/>
  <c r="Q20" i="20"/>
  <c r="U10" i="11"/>
  <c r="Z20" i="20"/>
  <c r="AA20" i="20"/>
  <c r="M20" i="20"/>
  <c r="F20" i="20"/>
  <c r="O20" i="20"/>
  <c r="AU20" i="20"/>
  <c r="W20" i="21"/>
  <c r="X20" i="20"/>
  <c r="AH20" i="20"/>
  <c r="L20" i="20"/>
  <c r="U16" i="11"/>
  <c r="F17" i="16" l="1"/>
  <c r="BL17" i="16" s="1"/>
  <c r="AM19" i="8"/>
  <c r="AC19" i="8"/>
  <c r="AK19" i="8"/>
  <c r="AA19" i="8"/>
  <c r="AI19" i="8"/>
  <c r="R19" i="8"/>
  <c r="BG10" i="8"/>
  <c r="BG9" i="8"/>
  <c r="K9" i="7" s="1"/>
  <c r="BE9" i="8"/>
  <c r="B13" i="7"/>
  <c r="T19"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BK13" i="11" l="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<sst xmlns="http://schemas.openxmlformats.org/spreadsheetml/2006/main" count="2094" uniqueCount="913">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</sst>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3D1EzJ5kGz40XYOkjv5BfL98rnuXJ4lEDuzvTsF9J217436OJU78EcqgeTT30ekZWeE55jZfDNcUT1nKkmwdQ==" saltValue="+aRkaJbVaJMyjZyX1B92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44.354563106796114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90</v>
      </c>
      <c r="E10" s="229">
        <f>IF(ISNUMBER(Datos!J10),Datos!J10," - ")</f>
        <v>28</v>
      </c>
      <c r="F10" s="229">
        <f>IF(ISNUMBER(Datos!K10),Datos!K10," - ")</f>
        <v>19</v>
      </c>
      <c r="G10" s="1037" t="str">
        <f>IF(Datos!E10&lt;&gt;"",Datos!E10,Datos!D10)</f>
        <v>37</v>
      </c>
      <c r="H10" s="230">
        <f>IF(ISNUMBER(Datos!L10),Datos!L10," - ")</f>
        <v>80</v>
      </c>
      <c r="I10" s="1047" t="str">
        <f>IF(ISNUMBER(Datos!AS10/Datos!BM10),Datos!AS10/Datos!BM10," - ")</f>
        <v xml:space="preserve"> - </v>
      </c>
      <c r="J10" s="1048">
        <f>IF(ISNUMBER(Datos!BY10/Datos!CN10),Datos!BY10/Datos!CN10," - ")</f>
        <v>0</v>
      </c>
      <c r="K10" s="233">
        <f t="shared" ref="K10:K12" si="1">IF(ISNUMBER((E10-F10)/C10),(E10-F10)/C10," - ")</f>
        <v>0.12676056338028169</v>
      </c>
      <c r="L10" s="1028">
        <f>IF(ISNUMBER(NºAsuntos!I10/NºAsuntos!G10),(NºAsuntos!I10/NºAsuntos!G10)*11," - ")</f>
        <v>46.315789473684205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90</v>
      </c>
      <c r="E13" s="1053">
        <f>SUBTOTAL(9,E9:E12)</f>
        <v>28</v>
      </c>
      <c r="F13" s="1054">
        <f>SUBTOTAL(9,F9:F12)</f>
        <v>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3667</v>
      </c>
      <c r="D15" s="228">
        <f>IF(ISNUMBER(IF(D_I="SI",Datos!I15,Datos!I15+Datos!AC15)),IF(D_I="SI",Datos!I15,Datos!I15+Datos!AC15)," - ")</f>
        <v>3926</v>
      </c>
      <c r="E15" s="229">
        <f>IF(ISNUMBER(IF(D_I="SI",Datos!J15,Datos!J15+Datos!AD15)),IF(D_I="SI",Datos!J15,Datos!J15+Datos!AD15)," - ")</f>
        <v>4640</v>
      </c>
      <c r="F15" s="229">
        <f>IF(ISNUMBER(IF(D_I="SI",Datos!K15,Datos!K15+Datos!AE15)),IF(D_I="SI",Datos!K15,Datos!K15+Datos!AE15)," - ")</f>
        <v>4470</v>
      </c>
      <c r="G15" s="1037" t="str">
        <f>IF(Datos!E15&lt;&gt;"",Datos!E15,Datos!D15)</f>
        <v>03</v>
      </c>
      <c r="H15" s="230">
        <f>IF(ISNUMBER(IF(D_I="SI",Datos!L15,Datos!L15+Datos!AF15)),IF(D_I="SI",Datos!L15,Datos!L15+Datos!AF15)," - ")</f>
        <v>3837</v>
      </c>
      <c r="I15" s="1047" t="str">
        <f>IF(ISNUMBER(Datos!AS15/Datos!BM15),Datos!AS15/Datos!BM15," - ")</f>
        <v xml:space="preserve"> - </v>
      </c>
      <c r="J15" s="1048">
        <f>IF(ISNUMBER(Datos!BY15/Datos!CN15),Datos!BY15/Datos!CN15," - ")</f>
        <v>0</v>
      </c>
      <c r="K15" s="233">
        <f t="shared" ref="K15:K17" si="3">IF(ISNUMBER((E15-F15)/C15),(E15-F15)/C15," - ")</f>
        <v>4.635942187073902E-2</v>
      </c>
      <c r="L15" s="1028">
        <f>IF(ISNUMBER(NºAsuntos!I15/NºAsuntos!G15),(NºAsuntos!I15/NºAsuntos!G15)*11," - ")</f>
        <v>9.4422818791946312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144</v>
      </c>
      <c r="D17" s="228">
        <f>IF(ISNUMBER(IF(D_I="SI",Datos!I17,Datos!I17+Datos!AC17)),IF(D_I="SI",Datos!I17,Datos!I17+Datos!AC17)," - ")</f>
        <v>138</v>
      </c>
      <c r="E17" s="229">
        <f>IF(ISNUMBER(IF(D_I="SI",Datos!J17,Datos!J17+Datos!AD17)),IF(D_I="SI",Datos!J17,Datos!J17+Datos!AD17)," - ")</f>
        <v>292</v>
      </c>
      <c r="F17" s="229">
        <f>IF(ISNUMBER(IF(D_I="SI",Datos!K17,Datos!K17+Datos!AE17)),IF(D_I="SI",Datos!K17,Datos!K17+Datos!AE17)," - ")</f>
        <v>285</v>
      </c>
      <c r="G17" s="1037" t="str">
        <f>IF(Datos!E17&lt;&gt;"",Datos!E17,Datos!D17)</f>
        <v>37</v>
      </c>
      <c r="H17" s="230">
        <f>IF(ISNUMBER(IF(D_I="SI",Datos!L17,Datos!L17+Datos!AF17)),IF(D_I="SI",Datos!L17,Datos!L17+Datos!AF17)," - ")</f>
        <v>151</v>
      </c>
      <c r="I17" s="1047" t="str">
        <f>IF(ISNUMBER(Datos!AS17/Datos!BM17),Datos!AS17/Datos!BM17," - ")</f>
        <v xml:space="preserve"> - </v>
      </c>
      <c r="J17" s="1048" t="str">
        <f>IF(ISNUMBER((Datos!BY17+Datos!BZ17)/Datos!CN17),(Datos!BY17+Datos!BZ17)/Datos!CN17," - ")</f>
        <v xml:space="preserve"> - </v>
      </c>
      <c r="K17" s="233">
        <f t="shared" si="3"/>
        <v>4.8611111111111112E-2</v>
      </c>
      <c r="L17" s="1028">
        <f>IF(ISNUMBER(NºAsuntos!I17/NºAsuntos!G17),(NºAsuntos!I17/NºAsuntos!G17)*11," - ")</f>
        <v>5.8280701754385964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3811</v>
      </c>
      <c r="D18" s="1052">
        <f>SUBTOTAL(9,D15:D17)</f>
        <v>4064</v>
      </c>
      <c r="E18" s="1053">
        <f>SUBTOTAL(9,E15:E17)</f>
        <v>4932</v>
      </c>
      <c r="F18" s="1053">
        <f>SUBTOTAL(9,F15:F17)</f>
        <v>4755</v>
      </c>
      <c r="G18" s="1055" t="str">
        <f ca="1">INDIRECT(CONCATENATE("G",ROW()-1))</f>
        <v>37</v>
      </c>
      <c r="H18" s="1056">
        <f ca="1">SUMIF(G$14:G17,G18,H$14:H17)</f>
        <v>151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3882</v>
      </c>
      <c r="D19" s="1074">
        <f>SUBTOTAL(9,D9:D18)</f>
        <v>4154</v>
      </c>
      <c r="E19" s="1075">
        <f>SUBTOTAL(9,E9:E18)</f>
        <v>4960</v>
      </c>
      <c r="F19" s="1075">
        <f>SUBTOTAL(9,F9:F18)</f>
        <v>4774</v>
      </c>
      <c r="G19" s="1076"/>
      <c r="H19" s="1077">
        <f ca="1">SUMIF(B9:B18,"TOTAL",H9:H18)</f>
        <v>151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2BuveHBiI1Bw3tBWMwLkwWaMFKvT2sGduOc1MXwtQCNwZ8J4upa9knBzUPmrx3eWaAJZS/BFWwSHSyIGXjaVbw==" saltValue="B7upJqzz8nF/Qvko8lyqw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A0WgRXXfKkj/dIGeIhwEg9YoBERSnRdB2AVwG099lhT0dG5dY3cRNwrytfVpMP33sbEoOYjqU32krbZc9YYAw==" saltValue="TsVy70HBJUvhIs3IM4I0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10087</v>
      </c>
      <c r="J9" s="184">
        <v>2481</v>
      </c>
      <c r="K9" s="184">
        <v>2446</v>
      </c>
      <c r="L9" s="184">
        <v>10121</v>
      </c>
      <c r="M9" s="184">
        <v>659</v>
      </c>
      <c r="N9" s="184">
        <v>796</v>
      </c>
      <c r="O9" s="184">
        <v>1434</v>
      </c>
      <c r="P9" s="184">
        <v>692</v>
      </c>
      <c r="Q9" s="184">
        <v>587</v>
      </c>
      <c r="R9" s="184">
        <v>10400</v>
      </c>
      <c r="S9" s="184">
        <v>8002</v>
      </c>
      <c r="T9" s="184">
        <v>2486</v>
      </c>
      <c r="U9" s="184">
        <v>2280</v>
      </c>
      <c r="V9" s="184">
        <v>8225</v>
      </c>
      <c r="W9" s="184">
        <v>631</v>
      </c>
      <c r="X9" s="191">
        <v>887</v>
      </c>
      <c r="Y9" s="194">
        <v>265</v>
      </c>
      <c r="Z9" s="184">
        <v>126</v>
      </c>
      <c r="AA9" s="184">
        <v>129</v>
      </c>
      <c r="AB9" s="184">
        <v>262</v>
      </c>
      <c r="AC9" s="184">
        <v>0</v>
      </c>
      <c r="AD9" s="184">
        <v>0</v>
      </c>
      <c r="AE9" s="184">
        <v>0</v>
      </c>
      <c r="AF9" s="191">
        <v>0</v>
      </c>
      <c r="AG9" s="194">
        <v>287</v>
      </c>
      <c r="AH9" s="184">
        <v>218</v>
      </c>
      <c r="AI9" s="184">
        <v>172</v>
      </c>
      <c r="AJ9" s="195">
        <v>333</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8289</v>
      </c>
      <c r="AZ9" s="123">
        <f>IF(ISNUMBER(IF(J_V="SI",T9,T9+AH9)),IF(J_V="SI",T9,T9+AH9)," - ")</f>
        <v>2704</v>
      </c>
      <c r="BA9" s="124">
        <f>IF(ISNUMBER(IF(J_V="SI",U9,U9+AI9)),IF(J_V="SI",U9,U9+AI9)," - ")</f>
        <v>2452</v>
      </c>
      <c r="BB9" s="124">
        <f>IF(ISNUMBER(IF(J_V="SI",V9,V9+AJ9)),IF(J_V="SI",V9,V9+AJ9)," - ")</f>
        <v>8558</v>
      </c>
      <c r="BC9" s="125">
        <f>IF(ISNUMBER(X9),X9," - ")</f>
        <v>887</v>
      </c>
      <c r="BD9" s="126">
        <f>IF(ISNUMBER(BA9/AZ9),BA9/AZ9," - ")</f>
        <v>0.90680473372781067</v>
      </c>
      <c r="BE9" s="127">
        <f>IF(ISNUMBER(BB9/BA9),BB9/BA9, " - ")</f>
        <v>3.4902120717781404</v>
      </c>
      <c r="BF9" s="127">
        <f>IF(ISNUMBER(BC9/BA9),BC9/BA9, " - ")</f>
        <v>0.36174551386623166</v>
      </c>
      <c r="BG9" s="199">
        <f>IF(ISNUMBER((AY9+AZ9)/BA9),(AY9+AZ9)/BA9," - ")</f>
        <v>4.4832789559543231</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90</v>
      </c>
      <c r="J10" s="184">
        <v>28</v>
      </c>
      <c r="K10" s="184">
        <v>19</v>
      </c>
      <c r="L10" s="184">
        <v>80</v>
      </c>
      <c r="M10" s="184">
        <v>5</v>
      </c>
      <c r="N10" s="184">
        <v>11</v>
      </c>
      <c r="O10" s="184">
        <v>3</v>
      </c>
      <c r="P10" s="184">
        <v>4</v>
      </c>
      <c r="Q10" s="184">
        <v>1</v>
      </c>
      <c r="R10" s="184">
        <v>140</v>
      </c>
      <c r="S10" s="184">
        <v>74</v>
      </c>
      <c r="T10" s="184">
        <v>30</v>
      </c>
      <c r="U10" s="184">
        <v>14</v>
      </c>
      <c r="V10" s="184">
        <v>90</v>
      </c>
      <c r="W10" s="184">
        <v>3</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74</v>
      </c>
      <c r="AZ10" s="129">
        <f t="shared" si="0"/>
        <v>30</v>
      </c>
      <c r="BA10" s="129">
        <f t="shared" si="0"/>
        <v>14</v>
      </c>
      <c r="BB10" s="129">
        <f t="shared" si="0"/>
        <v>90</v>
      </c>
      <c r="BC10" s="125">
        <f t="shared" si="0"/>
        <v>3</v>
      </c>
      <c r="BD10" s="126">
        <f>IF(ISNUMBER(BA10/AZ10),BA10/AZ10," - ")</f>
        <v>0.46666666666666667</v>
      </c>
      <c r="BE10" s="127">
        <f>IF(ISNUMBER(BB10/BA10),BB10/BA10, " - ")</f>
        <v>6.4285714285714288</v>
      </c>
      <c r="BF10" s="127">
        <f>IF(ISNUMBER(BC10/BA10),BC10/BA10, " - ")</f>
        <v>0.21428571428571427</v>
      </c>
      <c r="BG10" s="199">
        <f>IF(ISNUMBER((AY10+AZ10)/BA10),(AY10+AZ10)/BA10," - ")</f>
        <v>7.4285714285714288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10177</v>
      </c>
      <c r="J13" s="187">
        <f t="shared" si="6"/>
        <v>2509</v>
      </c>
      <c r="K13" s="187">
        <f t="shared" si="6"/>
        <v>2465</v>
      </c>
      <c r="L13" s="187">
        <f t="shared" si="6"/>
        <v>10201</v>
      </c>
      <c r="M13" s="187">
        <f t="shared" si="6"/>
        <v>664</v>
      </c>
      <c r="N13" s="187">
        <f t="shared" si="6"/>
        <v>807</v>
      </c>
      <c r="O13" s="187">
        <f t="shared" si="6"/>
        <v>1437</v>
      </c>
      <c r="P13" s="187">
        <f t="shared" si="6"/>
        <v>696</v>
      </c>
      <c r="Q13" s="187">
        <f t="shared" si="6"/>
        <v>588</v>
      </c>
      <c r="R13" s="187">
        <f t="shared" si="6"/>
        <v>10540</v>
      </c>
      <c r="S13" s="187">
        <f t="shared" si="6"/>
        <v>8076</v>
      </c>
      <c r="T13" s="187">
        <f t="shared" si="6"/>
        <v>2516</v>
      </c>
      <c r="U13" s="187">
        <f t="shared" si="6"/>
        <v>2294</v>
      </c>
      <c r="V13" s="187">
        <f t="shared" si="6"/>
        <v>8315</v>
      </c>
      <c r="W13" s="187">
        <f t="shared" si="6"/>
        <v>634</v>
      </c>
      <c r="X13" s="187">
        <f t="shared" si="6"/>
        <v>896</v>
      </c>
      <c r="Y13" s="187">
        <f t="shared" si="6"/>
        <v>265</v>
      </c>
      <c r="Z13" s="187">
        <f t="shared" si="6"/>
        <v>126</v>
      </c>
      <c r="AA13" s="187">
        <f t="shared" si="6"/>
        <v>129</v>
      </c>
      <c r="AB13" s="187">
        <f t="shared" si="6"/>
        <v>262</v>
      </c>
      <c r="AC13" s="187">
        <f t="shared" si="6"/>
        <v>0</v>
      </c>
      <c r="AD13" s="187">
        <f t="shared" si="6"/>
        <v>0</v>
      </c>
      <c r="AE13" s="187">
        <f t="shared" si="6"/>
        <v>0</v>
      </c>
      <c r="AF13" s="187">
        <f>SUBTOTAL(9,AF9:AF12)</f>
        <v>0</v>
      </c>
      <c r="AG13" s="187">
        <f t="shared" ref="AG13:AT13" si="7">SUBTOTAL(9,AG8:AG12)</f>
        <v>287</v>
      </c>
      <c r="AH13" s="187">
        <f t="shared" si="7"/>
        <v>218</v>
      </c>
      <c r="AI13" s="187">
        <f t="shared" si="7"/>
        <v>172</v>
      </c>
      <c r="AJ13" s="187">
        <f t="shared" si="7"/>
        <v>333</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8363</v>
      </c>
      <c r="AZ13" s="187">
        <f>SUBTOTAL(9,AZ8:AZ12)</f>
        <v>2734</v>
      </c>
      <c r="BA13" s="187">
        <f>SUBTOTAL(9,BA8:BA12)</f>
        <v>2466</v>
      </c>
      <c r="BB13" s="187">
        <f>SUBTOTAL(9,BB8:BB12)</f>
        <v>8648</v>
      </c>
      <c r="BC13" s="187">
        <f>SUBTOTAL(9,BC8:BC12)</f>
        <v>890</v>
      </c>
      <c r="BD13" s="208">
        <f>IF(ISNUMBER(BA13/AZ13),BA13/AZ13," - ")</f>
        <v>0.90197512801755675</v>
      </c>
      <c r="BE13" s="209">
        <f>IF(ISNUMBER(BB13/BA13),BB13/BA13, " - ")</f>
        <v>3.5068937550689374</v>
      </c>
      <c r="BF13" s="209">
        <f>IF(ISNUMBER(BC13/BA13),BC13/BA13, " - ")</f>
        <v>0.36090835360908352</v>
      </c>
      <c r="BG13" s="210">
        <f>IF(ISNUMBER((AY13+AZ13)/BA13),(AY13+AZ13)/BA13," - ")</f>
        <v>4.5</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3926</v>
      </c>
      <c r="J15" s="186">
        <v>4640</v>
      </c>
      <c r="K15" s="186">
        <v>4470</v>
      </c>
      <c r="L15" s="186">
        <v>3837</v>
      </c>
      <c r="M15" s="186">
        <v>386</v>
      </c>
      <c r="N15" s="186">
        <v>3177</v>
      </c>
      <c r="O15" s="184">
        <v>24</v>
      </c>
      <c r="P15" s="186">
        <v>99</v>
      </c>
      <c r="Q15" s="186">
        <v>99</v>
      </c>
      <c r="R15" s="186">
        <v>293</v>
      </c>
      <c r="S15" s="186">
        <v>3461</v>
      </c>
      <c r="T15" s="186">
        <v>4554</v>
      </c>
      <c r="U15" s="186">
        <v>4992</v>
      </c>
      <c r="V15" s="186">
        <v>3064</v>
      </c>
      <c r="W15" s="186">
        <v>385</v>
      </c>
      <c r="X15" s="192">
        <v>3372</v>
      </c>
      <c r="Y15" s="205">
        <v>0</v>
      </c>
      <c r="Z15" s="186">
        <v>0</v>
      </c>
      <c r="AA15" s="186">
        <v>0</v>
      </c>
      <c r="AB15" s="186">
        <v>0</v>
      </c>
      <c r="AC15" s="186">
        <v>2</v>
      </c>
      <c r="AD15" s="186">
        <v>48</v>
      </c>
      <c r="AE15" s="186">
        <v>50</v>
      </c>
      <c r="AF15" s="192">
        <v>0</v>
      </c>
      <c r="AG15" s="205">
        <v>0</v>
      </c>
      <c r="AH15" s="186">
        <v>0</v>
      </c>
      <c r="AI15" s="186">
        <v>0</v>
      </c>
      <c r="AJ15" s="206">
        <v>0</v>
      </c>
      <c r="AK15" s="185">
        <v>0</v>
      </c>
      <c r="AL15" s="186">
        <v>38</v>
      </c>
      <c r="AM15" s="186">
        <v>38</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3461</v>
      </c>
      <c r="AZ15" s="129">
        <f t="shared" si="9"/>
        <v>4554</v>
      </c>
      <c r="BA15" s="129">
        <f t="shared" si="9"/>
        <v>4992</v>
      </c>
      <c r="BB15" s="129">
        <f t="shared" si="9"/>
        <v>3064</v>
      </c>
      <c r="BC15" s="125">
        <f>IF(ISNUMBER(W15),W15," - ")</f>
        <v>385</v>
      </c>
      <c r="BD15" s="126">
        <f>IF(ISNUMBER(BA15/AZ15),BA15/AZ15," - ")</f>
        <v>1.0961791831357048</v>
      </c>
      <c r="BE15" s="127">
        <f>IF(ISNUMBER(BB15/BA15),BB15/BA15, " - ")</f>
        <v>0.61378205128205132</v>
      </c>
      <c r="BF15" s="127">
        <f>IF(ISNUMBER(BC15/BA15),BC15/BA15, " - ")</f>
        <v>7.7123397435897439E-2</v>
      </c>
      <c r="BG15" s="199">
        <f t="shared" ref="BG15:BG16" si="10">IF(ISNUMBER((AY15+AZ15)/BA15),(AY15+AZ15)/BA15," - ")</f>
        <v>1.6055689102564104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138</v>
      </c>
      <c r="J17" s="186">
        <v>292</v>
      </c>
      <c r="K17" s="186">
        <v>285</v>
      </c>
      <c r="L17" s="186">
        <v>151</v>
      </c>
      <c r="M17" s="186">
        <v>33</v>
      </c>
      <c r="N17" s="186">
        <v>120</v>
      </c>
      <c r="O17" s="186">
        <v>0</v>
      </c>
      <c r="P17" s="186">
        <v>2</v>
      </c>
      <c r="Q17" s="186">
        <v>6</v>
      </c>
      <c r="R17" s="186">
        <v>3</v>
      </c>
      <c r="S17" s="186">
        <v>103</v>
      </c>
      <c r="T17" s="186">
        <v>304</v>
      </c>
      <c r="U17" s="186">
        <v>304</v>
      </c>
      <c r="V17" s="186">
        <v>111</v>
      </c>
      <c r="W17" s="186">
        <v>30</v>
      </c>
      <c r="X17" s="192">
        <v>119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103</v>
      </c>
      <c r="AZ17" s="129">
        <f t="shared" si="14"/>
        <v>304</v>
      </c>
      <c r="BA17" s="129">
        <f t="shared" si="14"/>
        <v>304</v>
      </c>
      <c r="BB17" s="129">
        <f t="shared" si="14"/>
        <v>111</v>
      </c>
      <c r="BC17" s="125">
        <f>IF(ISNUMBER(W17),W17," - ")</f>
        <v>30</v>
      </c>
      <c r="BD17" s="126">
        <f>IF(ISNUMBER(BA17/AZ17),BA17/AZ17," - ")</f>
        <v>1</v>
      </c>
      <c r="BE17" s="127">
        <f>IF(ISNUMBER(BB17/BA17),BB17/BA17, " - ")</f>
        <v>0.36513157894736842</v>
      </c>
      <c r="BF17" s="127">
        <f>IF(ISNUMBER(BC17/BA17),BC17/BA17, " - ")</f>
        <v>9.8684210526315791E-2</v>
      </c>
      <c r="BG17" s="199">
        <f>IF(ISNUMBER((AY17+AZ17)/BA17),(AY17+AZ17)/BA17," - ")</f>
        <v>1.3388157894736843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4064</v>
      </c>
      <c r="J18" s="187">
        <f t="shared" si="15"/>
        <v>4932</v>
      </c>
      <c r="K18" s="187">
        <f t="shared" si="15"/>
        <v>4755</v>
      </c>
      <c r="L18" s="187">
        <f t="shared" si="15"/>
        <v>3988</v>
      </c>
      <c r="M18" s="187">
        <f t="shared" si="15"/>
        <v>419</v>
      </c>
      <c r="N18" s="187">
        <f t="shared" si="15"/>
        <v>3297</v>
      </c>
      <c r="O18" s="187">
        <f t="shared" si="15"/>
        <v>24</v>
      </c>
      <c r="P18" s="187">
        <f t="shared" si="15"/>
        <v>101</v>
      </c>
      <c r="Q18" s="187">
        <f t="shared" si="15"/>
        <v>105</v>
      </c>
      <c r="R18" s="187">
        <f t="shared" si="15"/>
        <v>296</v>
      </c>
      <c r="S18" s="187">
        <f t="shared" si="15"/>
        <v>3564</v>
      </c>
      <c r="T18" s="187">
        <f t="shared" si="15"/>
        <v>4858</v>
      </c>
      <c r="U18" s="187">
        <f t="shared" si="15"/>
        <v>5296</v>
      </c>
      <c r="V18" s="187">
        <f t="shared" si="15"/>
        <v>3175</v>
      </c>
      <c r="W18" s="187">
        <f t="shared" si="15"/>
        <v>415</v>
      </c>
      <c r="X18" s="187">
        <f t="shared" si="15"/>
        <v>3491</v>
      </c>
      <c r="Y18" s="187">
        <f t="shared" si="15"/>
        <v>0</v>
      </c>
      <c r="Z18" s="187">
        <f t="shared" si="15"/>
        <v>0</v>
      </c>
      <c r="AA18" s="187">
        <f t="shared" si="15"/>
        <v>0</v>
      </c>
      <c r="AB18" s="187">
        <f t="shared" si="15"/>
        <v>0</v>
      </c>
      <c r="AC18" s="187">
        <f t="shared" si="15"/>
        <v>2</v>
      </c>
      <c r="AD18" s="187">
        <f t="shared" si="15"/>
        <v>48</v>
      </c>
      <c r="AE18" s="187">
        <f t="shared" si="15"/>
        <v>50</v>
      </c>
      <c r="AF18" s="187">
        <f t="shared" si="15"/>
        <v>0</v>
      </c>
      <c r="AG18" s="187">
        <f t="shared" si="15"/>
        <v>0</v>
      </c>
      <c r="AH18" s="187">
        <f t="shared" si="15"/>
        <v>0</v>
      </c>
      <c r="AI18" s="187">
        <f t="shared" si="15"/>
        <v>0</v>
      </c>
      <c r="AJ18" s="187">
        <f t="shared" si="15"/>
        <v>0</v>
      </c>
      <c r="AK18" s="187">
        <f t="shared" si="15"/>
        <v>0</v>
      </c>
      <c r="AL18" s="187">
        <f t="shared" si="15"/>
        <v>38</v>
      </c>
      <c r="AM18" s="187">
        <f t="shared" si="15"/>
        <v>38</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3564</v>
      </c>
      <c r="AZ18" s="187">
        <f>SUBTOTAL(9,AZ14:AZ17)</f>
        <v>4858</v>
      </c>
      <c r="BA18" s="187">
        <f>SUBTOTAL(9,BA14:BA17)</f>
        <v>5296</v>
      </c>
      <c r="BB18" s="187">
        <f>SUBTOTAL(9,BB14:BB17)</f>
        <v>3175</v>
      </c>
      <c r="BC18" s="187">
        <f>SUBTOTAL(9,BC14:BC17)</f>
        <v>415</v>
      </c>
      <c r="BD18" s="208">
        <f>IF(ISNUMBER(BA18/AZ18),BA18/AZ18," - ")</f>
        <v>1.0901605599011939</v>
      </c>
      <c r="BE18" s="209">
        <f>IF(ISNUMBER(BB18/BA18),BB18/BA18, " - ")</f>
        <v>0.59950906344410881</v>
      </c>
      <c r="BF18" s="209">
        <f>IF(ISNUMBER(BC18/BA18),BC18/BA18, " - ")</f>
        <v>7.8361027190332333E-2</v>
      </c>
      <c r="BG18" s="210">
        <f>IF(ISNUMBER((AY18+AZ18)/BA18),(AY18+AZ18)/BA18," - ")</f>
        <v>1.5902567975830815</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14241</v>
      </c>
      <c r="J19" s="134">
        <f t="shared" si="18"/>
        <v>7441</v>
      </c>
      <c r="K19" s="134">
        <f t="shared" si="18"/>
        <v>7220</v>
      </c>
      <c r="L19" s="134">
        <f t="shared" si="18"/>
        <v>14189</v>
      </c>
      <c r="M19" s="134">
        <f t="shared" si="18"/>
        <v>1083</v>
      </c>
      <c r="N19" s="134">
        <f t="shared" si="18"/>
        <v>4104</v>
      </c>
      <c r="O19" s="134">
        <f t="shared" si="18"/>
        <v>1461</v>
      </c>
      <c r="P19" s="134">
        <f t="shared" si="18"/>
        <v>797</v>
      </c>
      <c r="Q19" s="134">
        <f t="shared" si="18"/>
        <v>693</v>
      </c>
      <c r="R19" s="134">
        <f t="shared" si="18"/>
        <v>10836</v>
      </c>
      <c r="S19" s="134">
        <f t="shared" si="18"/>
        <v>11640</v>
      </c>
      <c r="T19" s="134">
        <f t="shared" si="18"/>
        <v>7374</v>
      </c>
      <c r="U19" s="134">
        <f t="shared" si="18"/>
        <v>7590</v>
      </c>
      <c r="V19" s="134">
        <f t="shared" si="18"/>
        <v>11490</v>
      </c>
      <c r="W19" s="134">
        <f t="shared" si="18"/>
        <v>1049</v>
      </c>
      <c r="X19" s="134">
        <f t="shared" si="18"/>
        <v>4387</v>
      </c>
      <c r="Y19" s="134">
        <f t="shared" si="18"/>
        <v>265</v>
      </c>
      <c r="Z19" s="134">
        <f t="shared" si="18"/>
        <v>126</v>
      </c>
      <c r="AA19" s="134">
        <f t="shared" si="18"/>
        <v>129</v>
      </c>
      <c r="AB19" s="134">
        <f t="shared" si="18"/>
        <v>262</v>
      </c>
      <c r="AC19" s="134">
        <f t="shared" si="18"/>
        <v>2</v>
      </c>
      <c r="AD19" s="134">
        <f t="shared" si="18"/>
        <v>48</v>
      </c>
      <c r="AE19" s="134">
        <f t="shared" si="18"/>
        <v>50</v>
      </c>
      <c r="AF19" s="134">
        <f t="shared" si="18"/>
        <v>0</v>
      </c>
      <c r="AG19" s="134">
        <f t="shared" si="18"/>
        <v>287</v>
      </c>
      <c r="AH19" s="134">
        <f t="shared" si="18"/>
        <v>218</v>
      </c>
      <c r="AI19" s="134">
        <f t="shared" si="18"/>
        <v>172</v>
      </c>
      <c r="AJ19" s="134">
        <f t="shared" si="18"/>
        <v>333</v>
      </c>
      <c r="AK19" s="134">
        <f t="shared" si="18"/>
        <v>0</v>
      </c>
      <c r="AL19" s="134">
        <f t="shared" si="18"/>
        <v>38</v>
      </c>
      <c r="AM19" s="134">
        <f t="shared" si="18"/>
        <v>38</v>
      </c>
      <c r="AN19" s="213">
        <f t="shared" si="18"/>
        <v>0</v>
      </c>
      <c r="AO19" s="214">
        <v>14</v>
      </c>
      <c r="AP19" s="214">
        <v>14</v>
      </c>
      <c r="AQ19" s="214">
        <v>14</v>
      </c>
      <c r="AR19" s="214">
        <v>14</v>
      </c>
      <c r="AS19" s="156">
        <f t="shared" si="18"/>
        <v>0</v>
      </c>
      <c r="AT19" s="156">
        <f t="shared" si="18"/>
        <v>0</v>
      </c>
      <c r="AU19" s="214"/>
      <c r="AV19" s="215"/>
      <c r="AW19" s="214"/>
      <c r="AX19" s="215"/>
      <c r="AY19" s="133">
        <f>SUBTOTAL(9,AY9:AY18)</f>
        <v>11927</v>
      </c>
      <c r="AZ19" s="134">
        <f>SUBTOTAL(9,AZ9:AZ18)</f>
        <v>7592</v>
      </c>
      <c r="BA19" s="134">
        <f>SUBTOTAL(9,BA9:BA18)</f>
        <v>7762</v>
      </c>
      <c r="BB19" s="134">
        <f>SUBTOTAL(9,BB9:BB18)</f>
        <v>11823</v>
      </c>
      <c r="BC19" s="135">
        <f>SUBTOTAL(9,BC9:BC18)</f>
        <v>1305</v>
      </c>
      <c r="BD19" s="216">
        <f>IF(ISNUMBER(BA19/AZ19),BA19/AZ19," - ")</f>
        <v>1.0223919915700737</v>
      </c>
      <c r="BE19" s="213">
        <f>IF(ISNUMBER(BB19/BA19),BB19/BA19, " - ")</f>
        <v>1.5231898995104354</v>
      </c>
      <c r="BF19" s="213">
        <f>IF(ISNUMBER(BC19/BA19),BC19/BA19, " - ")</f>
        <v>0.16812677145065705</v>
      </c>
      <c r="BG19" s="135">
        <f>IF(ISNUMBER((AY19+AZ19)/BA19),(AY19+AZ19)/BA19," - ")</f>
        <v>2.5146869363566093</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NDWWVnGv2oAoBkm44EojwrgxkzKXgFI1AGEVL6ATkG9h9VWLIiD62Vud+/TS9CwyclFji96SrQInHsOk/oumg==" saltValue="X0itWeeZVz00eJF99no9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1rPrK12CCjQJiwHGSFBNNWRhVwdPZCmQObx3ngq6BWtuhTzejoQ0Tns4XgphIrx/cDzjiemRffo86eKviUIMA==" saltValue="4L1ErbFaOxxUyfSRVIF+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MARBELLA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126</v>
      </c>
      <c r="O9" s="337"/>
      <c r="P9" s="337"/>
      <c r="Q9" s="229">
        <f>IF(ISNUMBER(Datos!P9),Datos!P9,0)</f>
        <v>692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587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262</v>
      </c>
      <c r="AI9" s="337" t="str">
        <f>IF(ISNUMBER(Datos!CD9),Datos!CD9,"-")</f>
        <v>-</v>
      </c>
      <c r="AJ9" s="337" t="str">
        <f>IF(ISNUMBER(Datos!EN9),Datos!EN9," - ")</f>
        <v xml:space="preserve"> - </v>
      </c>
      <c r="AK9" s="337"/>
      <c r="AL9" s="482"/>
      <c r="AM9" s="338">
        <f>IF(ISNUMBER(Datos!R9),Datos!R9," - ")</f>
        <v>10400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659</v>
      </c>
      <c r="BD9" s="232">
        <f>IF(ISNUMBER(Datos!N9),Datos!N9," - ")</f>
        <v>796</v>
      </c>
      <c r="BE9" s="232" t="str">
        <f>IF(ISNUMBER(Datos!BW9),Datos!BW9," - ")</f>
        <v xml:space="preserve"> - </v>
      </c>
      <c r="BF9" s="231" t="str">
        <f>IF(ISNUMBER(Datos!BX9),Datos!BX9," - ")</f>
        <v xml:space="preserve"> - </v>
      </c>
      <c r="BG9" s="246">
        <f>IF(ISNUMBER(IF(J_V="SI",Datos!K9/Datos!J9,(Datos!K9+Datos!AA9)/(Datos!J9+Datos!Z9))),IF(J_V="SI",Datos!K9/Datos!J9,(Datos!K9+Datos!AA9)/(Datos!J9+Datos!Z9))," - ")</f>
        <v>0.9877253548139624</v>
      </c>
      <c r="BH9" s="263">
        <f>IF(ISNUMBER(((IF(J_V="SI",Datos!L9/Datos!K9,(Datos!L9+Datos!AB9)/(Datos!K9+Datos!AA9)))*11)/factor_trimestre),((IF(J_V="SI",Datos!L9/Datos!K9,(Datos!L9+Datos!AB9)/(Datos!K9+Datos!AA9)))*11)/factor_trimestre," - ")</f>
        <v>12.096699029126214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1.0199125789218067E-2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71</v>
      </c>
      <c r="G10" s="336">
        <f>IF(ISNUMBER(Datos!I10),Datos!I10," - ")</f>
        <v>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v>
      </c>
      <c r="AC10" s="229">
        <f>IF(ISNUMBER(Datos!Q10),Datos!Q10," - ")</f>
        <v>1</v>
      </c>
      <c r="AD10" s="337"/>
      <c r="AE10" s="487"/>
      <c r="AF10" s="335">
        <f>IF(ISNUMBER(Datos!L10),Datos!L10,"-")</f>
        <v>80</v>
      </c>
      <c r="AG10" s="337"/>
      <c r="AH10" s="337"/>
      <c r="AI10" s="337"/>
      <c r="AJ10" s="337"/>
      <c r="AK10" s="337"/>
      <c r="AL10" s="482"/>
      <c r="AM10" s="338">
        <f>IF(ISNUMBER(Datos!R10),Datos!R10," - ")</f>
        <v>140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11</v>
      </c>
      <c r="BE10" s="232" t="str">
        <f>IF(ISNUMBER(Datos!BW10),Datos!BW10," - ")</f>
        <v xml:space="preserve"> - </v>
      </c>
      <c r="BF10" s="231" t="str">
        <f>IF(ISNUMBER(Datos!BX10),Datos!BX10," - ")</f>
        <v xml:space="preserve"> - </v>
      </c>
      <c r="BG10" s="246">
        <f>IF(ISNUMBER(Datos!K10/Datos!J10),Datos!K10/Datos!J10," - ")</f>
        <v>0.6785714285714286</v>
      </c>
      <c r="BH10" s="263">
        <f>IF(ISNUMBER(((Datos!L10/Datos!K10)*11)/factor_trimestre),((Datos!L10/Datos!K10)*11)/factor_trimestre," - ")</f>
        <v>12.631578947368419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2.1897810218978103E-2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71</v>
      </c>
      <c r="G13" s="901">
        <f t="shared" si="0"/>
        <v>90</v>
      </c>
      <c r="H13" s="902">
        <f t="shared" si="0"/>
        <v>0</v>
      </c>
      <c r="I13" s="901">
        <f t="shared" si="0"/>
        <v>0</v>
      </c>
      <c r="J13" s="870">
        <f t="shared" si="0"/>
        <v>0</v>
      </c>
      <c r="K13" s="870">
        <f t="shared" si="0"/>
        <v>0</v>
      </c>
      <c r="L13" s="902">
        <f t="shared" si="0"/>
        <v>0</v>
      </c>
      <c r="M13" s="902">
        <f t="shared" si="0"/>
        <v>0</v>
      </c>
      <c r="N13" s="902">
        <f t="shared" si="0"/>
        <v>126</v>
      </c>
      <c r="O13" s="903">
        <f t="shared" si="0"/>
        <v>0</v>
      </c>
      <c r="P13" s="903">
        <f t="shared" si="0"/>
        <v>0</v>
      </c>
      <c r="Q13" s="902">
        <f t="shared" si="0"/>
        <v>696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v>
      </c>
      <c r="AC13" s="902">
        <f t="shared" si="1"/>
        <v>588</v>
      </c>
      <c r="AD13" s="902">
        <f t="shared" si="1"/>
        <v>0</v>
      </c>
      <c r="AE13" s="902">
        <f t="shared" si="1"/>
        <v>0</v>
      </c>
      <c r="AF13" s="902">
        <f t="shared" si="1"/>
        <v>80</v>
      </c>
      <c r="AG13" s="902">
        <f t="shared" si="1"/>
        <v>0</v>
      </c>
      <c r="AH13" s="902">
        <f t="shared" si="1"/>
        <v>262</v>
      </c>
      <c r="AI13" s="902">
        <f t="shared" si="1"/>
        <v>0</v>
      </c>
      <c r="AJ13" s="902">
        <f t="shared" si="1"/>
        <v>0</v>
      </c>
      <c r="AK13" s="902">
        <f t="shared" si="1"/>
        <v>0</v>
      </c>
      <c r="AL13" s="902">
        <f t="shared" si="1"/>
        <v>0</v>
      </c>
      <c r="AM13" s="902">
        <f t="shared" si="1"/>
        <v>10540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664</v>
      </c>
      <c r="BD13" s="902">
        <f t="shared" si="1"/>
        <v>807</v>
      </c>
      <c r="BE13" s="902">
        <f t="shared" si="1"/>
        <v>0</v>
      </c>
      <c r="BF13" s="902">
        <f t="shared" si="1"/>
        <v>0</v>
      </c>
      <c r="BG13" s="902">
        <f>IF(ISNUMBER(Datos!K13/Datos!J13),Datos!K13/Datos!J13," - ")</f>
        <v>0.98246313272220009</v>
      </c>
      <c r="BH13" s="906">
        <f>IF(ISNUMBER(((Datos!L13/Datos!K13)*11)/factor_trimestre),((Datos!L13/Datos!K13)*11)/factor_trimestre," - ")</f>
        <v>12.41501014198783</v>
      </c>
      <c r="BI13" s="902">
        <f>IF(ISNUMBER('Resol  Asuntos'!D13/NºAsuntos!G13),'Resol  Asuntos'!D13/NºAsuntos!G13," - ")</f>
        <v>0.25597532767925985</v>
      </c>
      <c r="BJ13" s="902" t="str">
        <f>IF(ISNUMBER(Datos!CI13/Datos!CJ13),Datos!CI13/Datos!CJ13," - ")</f>
        <v xml:space="preserve"> - </v>
      </c>
      <c r="BK13" s="902">
        <f>SUBTOTAL(9,BK8:BK12)</f>
        <v>0</v>
      </c>
      <c r="BL13" s="902">
        <f>IF(ISNUMBER((I13-AB13+L13)/(F13)),(I13-AB13+L13)/(F13)," - ")</f>
        <v>-0.26760563380281688</v>
      </c>
      <c r="BM13" s="907">
        <f>SUBTOTAL(9,BM9:BM12)</f>
        <v>3.2096936008196172E-2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3667</v>
      </c>
      <c r="G15" s="601">
        <f>IF(ISNUMBER(IF(D_I="SI",Datos!I15,Datos!I15+Datos!AC15)),IF(D_I="SI",Datos!I15,Datos!I15+Datos!AC15)," - ")</f>
        <v>3926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4470</v>
      </c>
      <c r="AC15" s="229">
        <f>IF(ISNUMBER(Datos!Q15),Datos!Q15," - ")</f>
        <v>99</v>
      </c>
      <c r="AD15" s="337"/>
      <c r="AE15" s="487"/>
      <c r="AF15" s="599">
        <f>IF(ISNUMBER(IF(D_I="SI",Datos!L15,Datos!L15+Datos!AF15)),IF(D_I="SI",Datos!L15,Datos!L15+Datos!AF15)," - ")</f>
        <v>3837</v>
      </c>
      <c r="AG15" s="337"/>
      <c r="AH15" s="337"/>
      <c r="AI15" s="337"/>
      <c r="AJ15" s="337"/>
      <c r="AK15" s="337"/>
      <c r="AL15" s="482"/>
      <c r="AM15" s="338">
        <f>IF(ISNUMBER(Datos!R15),Datos!R15," - ")</f>
        <v>293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386</v>
      </c>
      <c r="BD15" s="232">
        <f>IF(ISNUMBER(Datos!N15),Datos!N15," - ")</f>
        <v>3177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0.96336206896551724</v>
      </c>
      <c r="BH15" s="263">
        <f>IF(ISNUMBER(((IF(D_I="SI",Datos!L15/Datos!K15,(Datos!L15+Datos!AF15)/(Datos!K15+Datos!AE15)))*11)/factor_trimestre),((IF(D_I="SI",Datos!L15/Datos!K15,(Datos!L15+Datos!AF15)/(Datos!K15+Datos!AE15)))*11)/factor_trimestre," - ")</f>
        <v>2.5751677852348998</v>
      </c>
      <c r="BI15" s="246">
        <f>IF(ISNUMBER('Resol  Asuntos'!D15/NºAsuntos!G15),'Resol  Asuntos'!D15/NºAsuntos!G15," - ")</f>
        <v>8.6353467561521249E-2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285</v>
      </c>
      <c r="AC17" s="229">
        <f>IF(ISNUMBER(Datos!Q17),Datos!Q17," - ")</f>
        <v>6</v>
      </c>
      <c r="AD17" s="337"/>
      <c r="AE17" s="487"/>
      <c r="AF17" s="335">
        <f>IF(ISNUMBER(Datos!L17),Datos!L17,"-")</f>
        <v>151</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120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0.97602739726027399</v>
      </c>
      <c r="BH17" s="263">
        <f>IF(ISNUMBER(((IF(D_I="SI",Datos!L17/Datos!K17,(Datos!L17+Datos!AF17)/(Datos!K17+Datos!AE17)))*11)/factor_trimestre),((IF(D_I="SI",Datos!L17/Datos!K17,(Datos!L17+Datos!AF17)/(Datos!K17+Datos!AE17)))*11)/factor_trimestre," - ")</f>
        <v>1.5894736842105264</v>
      </c>
      <c r="BI17" s="246">
        <f>IF(ISNUMBER('Resol  Asuntos'!D17/NºAsuntos!G17),'Resol  Asuntos'!D17/NºAsuntos!G17," - ")</f>
        <v>0.11578947368421053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3667</v>
      </c>
      <c r="G18" s="901">
        <f>SUBTOTAL(9,G15:G17)</f>
        <v>4064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4755</v>
      </c>
      <c r="AC18" s="902">
        <f t="shared" si="4"/>
        <v>105</v>
      </c>
      <c r="AD18" s="902">
        <f t="shared" si="4"/>
        <v>0</v>
      </c>
      <c r="AE18" s="902">
        <f t="shared" si="4"/>
        <v>0</v>
      </c>
      <c r="AF18" s="902">
        <f t="shared" si="4"/>
        <v>3988</v>
      </c>
      <c r="AG18" s="902">
        <f t="shared" si="4"/>
        <v>0</v>
      </c>
      <c r="AH18" s="902">
        <f t="shared" si="4"/>
        <v>0</v>
      </c>
      <c r="AI18" s="902">
        <f t="shared" si="4"/>
        <v>0</v>
      </c>
      <c r="AJ18" s="902">
        <f t="shared" si="4"/>
        <v>0</v>
      </c>
      <c r="AK18" s="902">
        <f t="shared" si="4"/>
        <v>0</v>
      </c>
      <c r="AL18" s="902">
        <f t="shared" si="4"/>
        <v>0</v>
      </c>
      <c r="AM18" s="902">
        <f t="shared" si="4"/>
        <v>296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419</v>
      </c>
      <c r="BD18" s="902">
        <f t="shared" si="4"/>
        <v>3297</v>
      </c>
      <c r="BE18" s="902">
        <f t="shared" si="4"/>
        <v>0</v>
      </c>
      <c r="BF18" s="902">
        <f t="shared" si="4"/>
        <v>0</v>
      </c>
      <c r="BG18" s="902">
        <f>IF(ISNUMBER(Datos!K18/Datos!J18),Datos!K18/Datos!J18," - ")</f>
        <v>0.96411192214111918</v>
      </c>
      <c r="BH18" s="906">
        <f>IF(ISNUMBER(((Datos!L18/Datos!K18)*11)/factor_trimestre),((Datos!L18/Datos!K18)*11)/factor_trimestre," - ")</f>
        <v>2.51608832807571</v>
      </c>
      <c r="BI18" s="902">
        <f>SUBTOTAL(9,BI15:BI17)</f>
        <v>0.20214294124573179</v>
      </c>
      <c r="BJ18" s="902">
        <f>SUBTOTAL(9,BJ15:BJ17)</f>
        <v>0</v>
      </c>
      <c r="BK18" s="902">
        <f>SUBTOTAL(9,BK15:BK17)</f>
        <v>0</v>
      </c>
      <c r="BL18" s="902">
        <f>IF(ISNUMBER((I18-AB18+L18)/(F18)),(I18-AB18+L18)/(F18)," - ")</f>
        <v>-1.2967002999727297</v>
      </c>
      <c r="BM18" s="908">
        <f>IF(ISNUMBER((Datos!P18-Datos!Q18)/(Datos!R18-Datos!P18+Datos!Q18)),(Datos!P18-Datos!Q18)/(Datos!R18-Datos!P18+Datos!Q18)," - ")</f>
        <v>-1.3333333333333334E-2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3738</v>
      </c>
      <c r="G19" s="823">
        <f t="shared" si="6"/>
        <v>4154</v>
      </c>
      <c r="H19" s="825">
        <f t="shared" si="6"/>
        <v>0</v>
      </c>
      <c r="I19" s="823">
        <f t="shared" si="6"/>
        <v>0</v>
      </c>
      <c r="J19" s="825">
        <f t="shared" si="6"/>
        <v>0</v>
      </c>
      <c r="K19" s="825">
        <f t="shared" si="6"/>
        <v>0</v>
      </c>
      <c r="L19" s="884">
        <f t="shared" si="6"/>
        <v>0</v>
      </c>
      <c r="M19" s="884">
        <f t="shared" si="6"/>
        <v>0</v>
      </c>
      <c r="N19" s="884">
        <f t="shared" si="6"/>
        <v>126</v>
      </c>
      <c r="O19" s="884">
        <f t="shared" si="6"/>
        <v>0</v>
      </c>
      <c r="P19" s="884">
        <f t="shared" si="6"/>
        <v>0</v>
      </c>
      <c r="Q19" s="825">
        <f t="shared" si="6"/>
        <v>797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4774</v>
      </c>
      <c r="AC19" s="824">
        <f t="shared" si="7"/>
        <v>693</v>
      </c>
      <c r="AD19" s="824">
        <f t="shared" si="7"/>
        <v>0</v>
      </c>
      <c r="AE19" s="824">
        <f t="shared" si="7"/>
        <v>0</v>
      </c>
      <c r="AF19" s="831">
        <f t="shared" si="7"/>
        <v>4068</v>
      </c>
      <c r="AG19" s="831">
        <f t="shared" si="7"/>
        <v>0</v>
      </c>
      <c r="AH19" s="831">
        <f t="shared" si="7"/>
        <v>262</v>
      </c>
      <c r="AI19" s="831">
        <f t="shared" si="7"/>
        <v>0</v>
      </c>
      <c r="AJ19" s="824">
        <f t="shared" si="7"/>
        <v>0</v>
      </c>
      <c r="AK19" s="831">
        <f t="shared" si="7"/>
        <v>0</v>
      </c>
      <c r="AL19" s="831">
        <f t="shared" si="7"/>
        <v>0</v>
      </c>
      <c r="AM19" s="831">
        <f t="shared" si="7"/>
        <v>10836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1083</v>
      </c>
      <c r="BD19" s="823">
        <f t="shared" si="7"/>
        <v>4104</v>
      </c>
      <c r="BE19" s="823">
        <f t="shared" si="7"/>
        <v>0</v>
      </c>
      <c r="BF19" s="833">
        <f t="shared" si="7"/>
        <v>0</v>
      </c>
      <c r="BG19" s="918">
        <f>IF(ISNUMBER(Datos!K19/Datos!J19),Datos!K19/Datos!J19," - ")</f>
        <v>0.97029969090176049</v>
      </c>
      <c r="BH19" s="918">
        <f>IF(ISNUMBER(((Datos!L19/Datos!K19)*11)/factor_trimestre),((Datos!L19/Datos!K19)*11)/factor_trimestre," - ")</f>
        <v>5.8957063711911362</v>
      </c>
      <c r="BI19" s="816">
        <f>IF(ISNUMBER(Datos!J19/Datos!I19),Datos!J19/Datos!I19," - ")</f>
        <v>0.52250544203356508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-1.2771535580524345</v>
      </c>
      <c r="BM19" s="892">
        <f>IF(ISNUMBER((Datos!P19-Datos!Q19+R19)/(Datos!R19-Datos!P19+Datos!Q19-R19)),(Datos!P19-Datos!Q19+R19)/(Datos!R19-Datos!P19+Datos!Q19-R19)," - ")</f>
        <v>9.6906448005963479E-3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1661.6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3.6742346141747673</v>
      </c>
      <c r="F21" s="554">
        <f>IF(ISNUMBER(STDEV(F8:F18)),STDEV(F8:F18),"-")</f>
        <v>2076.1515680058942</v>
      </c>
      <c r="G21" s="555">
        <f>IF(ISNUMBER(STDEV(G8:G18)),STDEV(G8:G18),"-")</f>
        <v>2130.7418426454201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2471.8419852409661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289.45535061560014</v>
      </c>
      <c r="BD21" s="554"/>
      <c r="BE21" s="554">
        <f>IF(ISNUMBER(STDEV(BE8:BE18)),STDEV(BE8:BE18),"-")</f>
        <v>0</v>
      </c>
      <c r="BF21" s="559">
        <f>IF(ISNUMBER(STDEV(BF8:BF18)),STDEV(BF8:BF18),"-")</f>
        <v>0</v>
      </c>
      <c r="BG21" s="778">
        <f>IF(ISNUMBER(STDEV(BG8:BG18)),STDEV(BG8:BG18),"-")</f>
        <v>0.12129951062185317</v>
      </c>
      <c r="BH21" s="779">
        <f>IF(ISNUMBER(STDEV(BH8:BH18)),STDEV(BH8:BH18),"-")</f>
        <v>5.5752533467651331</v>
      </c>
      <c r="BI21" s="252">
        <f>IF(ISNUMBER(STDEV(BI8:BI18)),STDEV(BI8:BI18),"-")</f>
        <v>7.8023595230156562E-2</v>
      </c>
      <c r="BJ21" s="233" t="str">
        <f>IF(ISNUMBER(BL21/BM21),BL21/BM21," - ")</f>
        <v xml:space="preserve"> - </v>
      </c>
      <c r="BK21" s="578"/>
      <c r="BL21" s="562">
        <f>IF(ISNUMBER(STDEV(BL8:BL18)),STDEV(BL8:BL18),"-")</f>
        <v>0.72767981693165174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DGeGdxkVzLfccAGHBnUUXJLVyi101ZaOyjsSe7od66eWq5rnGGV7qs0brXcq2FqcBgEmNF+3Q146/bxvz7WDQ==" saltValue="deSolux2a1S2U6CNWA5S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MARBELLA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692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587</v>
      </c>
      <c r="AA9" s="335" t="str">
        <f>IF(ISNUMBER(IF(J_V="SI",Datos!L9,Datos!L9+Datos!AB9)-IF(Monitorios="SI",Datos!CD9,0)),
                          IF(J_V="SI",Datos!L9,Datos!L9+Datos!AB9)-IF(Monitorios="SI",Datos!CD9,0),
                          " - ")</f>
        <v xml:space="preserve"> - </v>
      </c>
      <c r="AB9" s="337"/>
      <c r="AC9" s="337"/>
      <c r="AD9" s="487"/>
      <c r="AE9" s="487">
        <f>IF(ISNUMBER(Datos!R9),Datos!R9," - ")</f>
        <v>10400</v>
      </c>
      <c r="AF9" s="232" t="str">
        <f>IF(ISNUMBER(Datos!BV9),Datos!BV9," - ")</f>
        <v xml:space="preserve"> - </v>
      </c>
      <c r="AG9" s="228" t="str">
        <f>IF(ISNUMBER(Datos!DV9),Datos!DV9," - ")</f>
        <v xml:space="preserve"> - </v>
      </c>
      <c r="AH9" s="301"/>
      <c r="AI9" s="230"/>
      <c r="AJ9" s="228">
        <f>IF(ISNUMBER(Datos!M9),Datos!M9," - ")</f>
        <v>659</v>
      </c>
      <c r="AK9" s="232">
        <f>IF(ISNUMBER(Datos!N9),Datos!N9," - ")</f>
        <v>796</v>
      </c>
      <c r="AL9" s="232" t="str">
        <f>IF(ISNUMBER(Datos!BW9),Datos!BW9," - ")</f>
        <v xml:space="preserve"> - </v>
      </c>
      <c r="AM9" s="231" t="str">
        <f>IF(ISNUMBER(Datos!BX9),Datos!BX9," - ")</f>
        <v xml:space="preserve"> - </v>
      </c>
      <c r="AN9" s="246"/>
      <c r="AO9" s="263">
        <f>IF(ISNUMBER(((NºAsuntos!I9/NºAsuntos!G9)*11)/factor_trimestre),((NºAsuntos!I9/NºAsuntos!G9)*11)/factor_trimestre," - ")</f>
        <v>12.096699029126214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1.0199125789218067E-2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71</v>
      </c>
      <c r="G10" s="228">
        <f>IF(ISNUMBER(Datos!I10),Datos!I10," - ")</f>
        <v>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v>
      </c>
      <c r="Z10" s="622">
        <f>IF(ISNUMBER(Datos!Q10),Datos!Q10," - ")</f>
        <v>1</v>
      </c>
      <c r="AA10" s="335">
        <f>IF(ISNUMBER(Datos!L10),Datos!L10,"-")</f>
        <v>80</v>
      </c>
      <c r="AB10" s="337"/>
      <c r="AC10" s="337"/>
      <c r="AD10" s="487"/>
      <c r="AE10" s="487">
        <f>IF(ISNUMBER(Datos!R10),Datos!R10," - ")</f>
        <v>140</v>
      </c>
      <c r="AF10" s="232" t="str">
        <f>IF(ISNUMBER(Datos!BV10),Datos!BV10," - ")</f>
        <v xml:space="preserve"> - </v>
      </c>
      <c r="AG10" s="228" t="str">
        <f>IF(ISNUMBER(Datos!DV10),Datos!DV10," - ")</f>
        <v xml:space="preserve"> - </v>
      </c>
      <c r="AH10" s="301"/>
      <c r="AI10" s="230"/>
      <c r="AJ10" s="228">
        <f>IF(ISNUMBER(Datos!M10),Datos!M10," - ")</f>
        <v>5</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12.631578947368419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2.1897810218978103E-2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71</v>
      </c>
      <c r="G13" s="901">
        <f>SUBTOTAL(9,G8:G12)</f>
        <v>90</v>
      </c>
      <c r="H13" s="911"/>
      <c r="I13" s="901">
        <f t="shared" ref="I13:N13" si="0">SUBTOTAL(9,I8:I12)</f>
        <v>0</v>
      </c>
      <c r="J13" s="870">
        <f t="shared" si="0"/>
        <v>0</v>
      </c>
      <c r="K13" s="911">
        <f t="shared" si="0"/>
        <v>0</v>
      </c>
      <c r="L13" s="911">
        <f t="shared" si="0"/>
        <v>0</v>
      </c>
      <c r="M13" s="911">
        <f t="shared" si="0"/>
        <v>0</v>
      </c>
      <c r="N13" s="911">
        <f t="shared" si="0"/>
        <v>696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v>
      </c>
      <c r="Z13" s="910">
        <f t="shared" si="2"/>
        <v>588</v>
      </c>
      <c r="AA13" s="903">
        <f t="shared" si="2"/>
        <v>80</v>
      </c>
      <c r="AB13" s="903">
        <f t="shared" si="2"/>
        <v>0</v>
      </c>
      <c r="AC13" s="903">
        <f t="shared" si="2"/>
        <v>0</v>
      </c>
      <c r="AD13" s="903">
        <f t="shared" si="2"/>
        <v>0</v>
      </c>
      <c r="AE13" s="903">
        <f t="shared" si="2"/>
        <v>10540</v>
      </c>
      <c r="AF13" s="911">
        <f t="shared" si="2"/>
        <v>0</v>
      </c>
      <c r="AG13" s="911">
        <f t="shared" si="2"/>
        <v>0</v>
      </c>
      <c r="AH13" s="911">
        <f t="shared" si="2"/>
        <v>0</v>
      </c>
      <c r="AI13" s="911">
        <f t="shared" si="2"/>
        <v>0</v>
      </c>
      <c r="AJ13" s="911">
        <f t="shared" si="2"/>
        <v>664</v>
      </c>
      <c r="AK13" s="911">
        <f t="shared" si="2"/>
        <v>807</v>
      </c>
      <c r="AL13" s="911">
        <f t="shared" si="2"/>
        <v>0</v>
      </c>
      <c r="AM13" s="911">
        <f t="shared" si="2"/>
        <v>0</v>
      </c>
      <c r="AN13" s="911">
        <f t="shared" si="2"/>
        <v>0</v>
      </c>
      <c r="AO13" s="907">
        <f>IF(ISNUMBER(((NºAsuntos!I13/NºAsuntos!G13)*11)/factor_trimestre),((NºAsuntos!I13/NºAsuntos!G13)*11)/factor_trimestre," - ")</f>
        <v>12.100616808018502</v>
      </c>
      <c r="AP13" s="913" t="str">
        <f>IF(ISNUMBER(Datos!CI13/Datos!CJ13),Datos!CI13/Datos!CJ13," - ")</f>
        <v xml:space="preserve"> - </v>
      </c>
      <c r="AQ13" s="931">
        <f t="shared" ref="AQ13:AV13" si="3">SUBTOTAL(9,AQ9:AQ12)</f>
        <v>0</v>
      </c>
      <c r="AR13" s="931">
        <f t="shared" si="3"/>
        <v>3.2096936008196172E-2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3667</v>
      </c>
      <c r="G15" s="228">
        <f>IF(ISNUMBER(IF(D_I="SI",Datos!I15,Datos!I15+Datos!AC15)),IF(D_I="SI",Datos!I15,Datos!I15+Datos!AC15)," - ")</f>
        <v>3926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4470</v>
      </c>
      <c r="Z15" s="622">
        <f>IF(ISNUMBER(Datos!Q15),Datos!Q15," - ")</f>
        <v>99</v>
      </c>
      <c r="AA15" s="335">
        <f>IF(ISNUMBER(IF(D_I="SI",Datos!L15,Datos!L15+Datos!AF15)),IF(D_I="SI",Datos!L15,Datos!L15+Datos!AF15)," - ")</f>
        <v>3837</v>
      </c>
      <c r="AB15" s="337"/>
      <c r="AC15" s="337"/>
      <c r="AD15" s="487"/>
      <c r="AE15" s="487">
        <f>IF(ISNUMBER(Datos!R15),Datos!R15," - ")</f>
        <v>293</v>
      </c>
      <c r="AF15" s="232" t="str">
        <f>IF(ISNUMBER(Datos!BV15),Datos!BV15," - ")</f>
        <v xml:space="preserve"> - </v>
      </c>
      <c r="AG15" s="228"/>
      <c r="AH15" s="301"/>
      <c r="AI15" s="230"/>
      <c r="AJ15" s="228">
        <f>IF(ISNUMBER(Datos!M15),Datos!M15," - ")</f>
        <v>386</v>
      </c>
      <c r="AK15" s="232">
        <f>IF(ISNUMBER(Datos!N15),Datos!N15," - ")</f>
        <v>3177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2.5751677852348998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285</v>
      </c>
      <c r="Z17" s="622">
        <f>IF(ISNUMBER(Datos!Q17),Datos!Q17," - ")</f>
        <v>6</v>
      </c>
      <c r="AA17" s="335">
        <f>IF(ISNUMBER(Datos!L17),Datos!L17,"-")</f>
        <v>151</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33</v>
      </c>
      <c r="AK17" s="232">
        <f>IF(ISNUMBER(Datos!N17),Datos!N17," - ")</f>
        <v>120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1.5894736842105264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3667</v>
      </c>
      <c r="G18" s="901">
        <f>SUBTOTAL(9,G15:G17)</f>
        <v>4064</v>
      </c>
      <c r="H18" s="935">
        <f>SUBTOTAL(9,H15:H17)</f>
        <v>0</v>
      </c>
      <c r="I18" s="914">
        <f>SUBTOTAL(9,I15:I17)</f>
        <v>0</v>
      </c>
      <c r="J18" s="870">
        <f>SUBTOTAL(9,J14:J17)</f>
        <v>0</v>
      </c>
      <c r="K18" s="935">
        <f t="shared" ref="K18:S18" si="4">SUBTOTAL(9,K15:K17)</f>
        <v>0</v>
      </c>
      <c r="L18" s="935">
        <f t="shared" si="4"/>
        <v>0</v>
      </c>
      <c r="M18" s="935">
        <f t="shared" si="4"/>
        <v>0</v>
      </c>
      <c r="N18" s="935">
        <f t="shared" si="4"/>
        <v>101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4755</v>
      </c>
      <c r="Z18" s="935">
        <f t="shared" si="5"/>
        <v>105</v>
      </c>
      <c r="AA18" s="935">
        <f t="shared" si="5"/>
        <v>3988</v>
      </c>
      <c r="AB18" s="935">
        <f t="shared" si="5"/>
        <v>0</v>
      </c>
      <c r="AC18" s="935">
        <f t="shared" si="5"/>
        <v>0</v>
      </c>
      <c r="AD18" s="935">
        <f t="shared" si="5"/>
        <v>0</v>
      </c>
      <c r="AE18" s="935">
        <f t="shared" si="5"/>
        <v>296</v>
      </c>
      <c r="AF18" s="935">
        <f t="shared" si="5"/>
        <v>0</v>
      </c>
      <c r="AG18" s="935">
        <f t="shared" si="5"/>
        <v>0</v>
      </c>
      <c r="AH18" s="935">
        <f t="shared" si="5"/>
        <v>0</v>
      </c>
      <c r="AI18" s="935">
        <f t="shared" si="5"/>
        <v>0</v>
      </c>
      <c r="AJ18" s="935">
        <f t="shared" si="5"/>
        <v>419</v>
      </c>
      <c r="AK18" s="935">
        <f t="shared" si="5"/>
        <v>3297</v>
      </c>
      <c r="AL18" s="935">
        <f t="shared" si="5"/>
        <v>0</v>
      </c>
      <c r="AM18" s="935">
        <f t="shared" si="5"/>
        <v>0</v>
      </c>
      <c r="AN18" s="935">
        <f t="shared" si="5"/>
        <v>0</v>
      </c>
      <c r="AO18" s="937">
        <f>IF(ISNUMBER(((NºAsuntos!I18/NºAsuntos!G18)*11)/factor_trimestre),((NºAsuntos!I18/NºAsuntos!G18)*11)/factor_trimestre," - ")</f>
        <v>2.51608832807571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3738</v>
      </c>
      <c r="G19" s="823">
        <f t="shared" si="7"/>
        <v>4154</v>
      </c>
      <c r="H19" s="824">
        <f t="shared" si="7"/>
        <v>0</v>
      </c>
      <c r="I19" s="823">
        <f t="shared" si="7"/>
        <v>0</v>
      </c>
      <c r="J19" s="825">
        <f t="shared" si="7"/>
        <v>0</v>
      </c>
      <c r="K19" s="823">
        <f t="shared" si="7"/>
        <v>0</v>
      </c>
      <c r="L19" s="826">
        <f t="shared" si="7"/>
        <v>0</v>
      </c>
      <c r="M19" s="823">
        <f t="shared" si="7"/>
        <v>0</v>
      </c>
      <c r="N19" s="824">
        <f t="shared" si="7"/>
        <v>797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4774</v>
      </c>
      <c r="Z19" s="830">
        <f t="shared" si="8"/>
        <v>693</v>
      </c>
      <c r="AA19" s="831">
        <f t="shared" si="8"/>
        <v>4068</v>
      </c>
      <c r="AB19" s="831">
        <f t="shared" si="8"/>
        <v>0</v>
      </c>
      <c r="AC19" s="831">
        <f t="shared" si="8"/>
        <v>0</v>
      </c>
      <c r="AD19" s="832">
        <f t="shared" si="8"/>
        <v>0</v>
      </c>
      <c r="AE19" s="832">
        <f t="shared" si="8"/>
        <v>10836</v>
      </c>
      <c r="AF19" s="833">
        <f t="shared" si="8"/>
        <v>0</v>
      </c>
      <c r="AG19" s="834">
        <f t="shared" si="8"/>
        <v>0</v>
      </c>
      <c r="AH19" s="835">
        <f t="shared" si="8"/>
        <v>0</v>
      </c>
      <c r="AI19" s="833">
        <f t="shared" si="8"/>
        <v>0</v>
      </c>
      <c r="AJ19" s="823">
        <f t="shared" si="8"/>
        <v>1083</v>
      </c>
      <c r="AK19" s="823">
        <f t="shared" si="8"/>
        <v>4104</v>
      </c>
      <c r="AL19" s="823">
        <f t="shared" si="8"/>
        <v>0</v>
      </c>
      <c r="AM19" s="836">
        <f t="shared" si="8"/>
        <v>0</v>
      </c>
      <c r="AN19" s="826">
        <f>IF(ISNUMBER(Datos!K19/Datos!J19),Datos!K19/Datos!J19," - ")</f>
        <v>0.97029969090176049</v>
      </c>
      <c r="AO19" s="826">
        <f>IF(ISNUMBER(FIND("06",Criterios!A8,1)),(IF(ISNUMBER(((Datos!R19/Datos!Q19)*11)/factor_trimestre),((Datos!R19/Datos!Q19)*11)/factor_trimestre," - ")),(IF(ISNUMBER(((Datos!L19/Datos!K19)*11)/factor_trimestre),((Datos!L19/Datos!K19)*11)/factor_trimestre," - ")))</f>
        <v>5.8957063711911362</v>
      </c>
      <c r="AP19" s="837" t="str">
        <f>IF(ISNUMBER(Datos!CI19/Datos!CJ19),Datos!CI19/Datos!CJ19," - ")</f>
        <v xml:space="preserve"> - </v>
      </c>
      <c r="AQ19" s="837">
        <f>IF(OR(ISNUMBER(FIND("01",Criterios!A8,1)),ISNUMBER(FIND("02",Criterios!A8,1)),ISNUMBER(FIND("03",Criterios!A8,1)),ISNUMBER(FIND("04",Criterios!A8,1))),(J19-Y19+K19)/(F19-K19),(I19-Y19+K19)/(F19-K19))</f>
        <v>-1.2771535580524345</v>
      </c>
      <c r="AR19" s="837">
        <f>IF(ISNUMBER((Datos!P19-Datos!Q19+O19)/(Datos!R19-Datos!P19+Datos!Q19-O19)),(Datos!P19-Datos!Q19+O19)/(Datos!R19-Datos!P19+Datos!Q19-O19)," - ")</f>
        <v>9.6906448005963479E-3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1661.6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2076.1515680058942</v>
      </c>
      <c r="G21" s="555">
        <f>IF(ISNUMBER(STDEV(G8:G18)),STDEV(G8:G18),"-")</f>
        <v>2130.7418426454201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289.45535061560014</v>
      </c>
      <c r="AK21" s="255"/>
      <c r="AL21" s="255">
        <f>IF(ISNUMBER(STDEV(AL8:AL18)),STDEV(AL8:AL18),"-")</f>
        <v>0</v>
      </c>
      <c r="AM21" s="257">
        <f>IF(ISNUMBER(STDEV(AM8:AM18)),STDEV(AM8:AM18),"-")</f>
        <v>0</v>
      </c>
      <c r="AN21" s="542">
        <f>IF(ISNUMBER(STDEV(AN8:AN18)),STDEV(AN8:AN18),"-")</f>
        <v>0</v>
      </c>
      <c r="AO21" s="543">
        <f>IF(ISNUMBER(STDEV(AO8:AO18)),STDEV(AO8:AO18),"-")</f>
        <v>5.5188021445000564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3TCVwdWqcQKXjGpmg4NZnskdFVUTz3BZeyLjA8RFNIxTgEIRqErZnhMswZWGGxIobJYerqDwkwLE13mr3Ri4iA==" saltValue="bVAEjyWF5M00gIY1emDb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SRdM/FjyC6iBpKH4xo2ARMIbtryXDrfnSVlfXZYbsoYmpiwakrNO0AT2XSkLdD6yYsv5L2BEO6Q7g2Q0b67dw==" saltValue="UY3uGrKKfhw59V3hSDrV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cnJHCI12luEMNS0AJpAUQ0p4iI2j/aknakiCvr53r01v9FSZeN9CJ/Us0Xo28HHV02k7xzz91wSfrXguOEcRA==" saltValue="o+BLC6KXTX8xfZ2ZRgPu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MARBELLA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0.25597532767925985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0.18100189001845318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bwCPc72HYdHwiqU+jaobaxtREb81tLS4jvZc+0/M+C8KPe4ZQfZxbBOvS9NmlyIyTWVnx9yrSUSGJLViyjR4g==" saltValue="/S84c3QcujeCSrAseVaq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7u/0ewasFAVy5XI0DCdhvEnjuv+SsfjWOrOGHXmuEthPYl7zLpThscOErOn4ZqIIyF1LO7tH6FOXhtcXZ0EqzA==" saltValue="tYxKJRAGZpf7LPbbfoRz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MARBELLA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10352</v>
      </c>
      <c r="D9" s="407">
        <f>IF(ISNUMBER(C9/Datos!BH9),C9/Datos!BH9," - ")</f>
        <v>1294</v>
      </c>
      <c r="E9" s="406">
        <f>IF(ISNUMBER(IF(J_V="SI",Datos!J9,Datos!J9+Datos!Z9)),IF(J_V="SI",Datos!J9,Datos!J9+Datos!Z9)," - ")</f>
        <v>2607</v>
      </c>
      <c r="F9" s="407">
        <f>IF(ISNUMBER(E9/B9),E9/B9," - ")</f>
        <v>325.875</v>
      </c>
      <c r="G9" s="406">
        <f>IF(ISNUMBER(IF(J_V="SI",Datos!K9,Datos!K9+Datos!AA9)),IF(J_V="SI",Datos!K9,Datos!K9+Datos!AA9)," - ")</f>
        <v>2575</v>
      </c>
      <c r="H9" s="407">
        <f>IF(ISNUMBER(G9/B9),G9/B9," - ")</f>
        <v>321.875</v>
      </c>
      <c r="I9" s="406">
        <f>IF(ISNUMBER(IF(J_V="SI",Datos!L9,Datos!L9+Datos!AB9)),IF(J_V="SI",Datos!L9,Datos!L9+Datos!AB9)," - ")</f>
        <v>10383</v>
      </c>
      <c r="J9" s="407">
        <f>IF(ISNUMBER(I9/B9),I9/B9," - ")</f>
        <v>1297.875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90</v>
      </c>
      <c r="D10" s="407">
        <f>IF(ISNUMBER(C10/Datos!BH10),C10/Datos!BH10," - ")</f>
        <v>90</v>
      </c>
      <c r="E10" s="406">
        <f>IF(ISNUMBER(Datos!J10),Datos!J10," - ")</f>
        <v>28</v>
      </c>
      <c r="F10" s="407">
        <f>IF(ISNUMBER(E10/B10),E10/B10," - ")</f>
        <v>28</v>
      </c>
      <c r="G10" s="406">
        <f>IF(ISNUMBER(Datos!K10),Datos!K10," - ")</f>
        <v>19</v>
      </c>
      <c r="H10" s="407">
        <f>IF(ISNUMBER(G10/B10),G10/B10," - ")</f>
        <v>19</v>
      </c>
      <c r="I10" s="406">
        <f>IF(ISNUMBER(Datos!L10),Datos!L10," - ")</f>
        <v>80</v>
      </c>
      <c r="J10" s="407">
        <f>IF(ISNUMBER(I10/B10),I10/B10," - ")</f>
        <v>80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10442</v>
      </c>
      <c r="D13" s="853" t="str">
        <f>IF(ISNUMBER(C13/Datos!BI13),C13/Datos!BI13," - ")</f>
        <v xml:space="preserve"> - </v>
      </c>
      <c r="E13" s="852">
        <f>SUBTOTAL(9,E8:E12)</f>
        <v>2635</v>
      </c>
      <c r="F13" s="853">
        <f>IF(ISNUMBER(E13/B13),E13/B13," - ")</f>
        <v>292.77777777777777</v>
      </c>
      <c r="G13" s="852">
        <f>SUBTOTAL(9,G8:G12)</f>
        <v>2594</v>
      </c>
      <c r="H13" s="853">
        <f>IF(ISNUMBER(G13/B13),G13/B13," - ")</f>
        <v>288.22222222222223</v>
      </c>
      <c r="I13" s="852">
        <f>SUBTOTAL(9,I8:I12)</f>
        <v>10463</v>
      </c>
      <c r="J13" s="853">
        <f>IF(ISNUMBER(I13/B13),I13/B13," - ")</f>
        <v>1162.5555555555557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3926</v>
      </c>
      <c r="D15" s="407">
        <f>IF(ISNUMBER(C15/Datos!BH15),C15/Datos!BH15," - ")</f>
        <v>785.2</v>
      </c>
      <c r="E15" s="406">
        <f>IF(ISNUMBER(IF(D_I="SI",Datos!J15,Datos!J15+Datos!AD15)),IF(D_I="SI",Datos!J15,Datos!J15+Datos!AD15)," - ")</f>
        <v>4640</v>
      </c>
      <c r="F15" s="407">
        <f>IF(ISNUMBER(E15/B15),E15/B15," - ")</f>
        <v>928</v>
      </c>
      <c r="G15" s="406">
        <f>IF(ISNUMBER(IF(D_I="SI",Datos!K15,Datos!K15+Datos!AE15)),IF(D_I="SI",Datos!K15,Datos!K15+Datos!AE15)," - ")</f>
        <v>4470</v>
      </c>
      <c r="H15" s="407">
        <f>IF(ISNUMBER(G15/B15),G15/B15," - ")</f>
        <v>894</v>
      </c>
      <c r="I15" s="406">
        <f>IF(ISNUMBER(IF(D_I="SI",Datos!L15,Datos!L15+Datos!AF15)),IF(D_I="SI",Datos!L15,Datos!L15+Datos!AF15)," - ")</f>
        <v>3837</v>
      </c>
      <c r="J15" s="407">
        <f>IF(ISNUMBER(I15/B15),I15/B15," - ")</f>
        <v>767.4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138</v>
      </c>
      <c r="D17" s="407">
        <f>IF(ISNUMBER(C17/Datos!BH17),C17/Datos!BH17," - ")</f>
        <v>138</v>
      </c>
      <c r="E17" s="406">
        <f>IF(ISNUMBER(IF(D_I="SI",Datos!J17,Datos!J17+Datos!AD17)),IF(D_I="SI",Datos!J17,Datos!J17+Datos!AD17)," - ")</f>
        <v>292</v>
      </c>
      <c r="F17" s="407">
        <f>IF(ISNUMBER(E17/B17),E17/B17," - ")</f>
        <v>292</v>
      </c>
      <c r="G17" s="406">
        <f>IF(ISNUMBER(IF(D_I="SI",Datos!K17,Datos!K17+Datos!AE17)),IF(D_I="SI",Datos!K17,Datos!K17+Datos!AE17)," - ")</f>
        <v>285</v>
      </c>
      <c r="H17" s="407">
        <f>IF(ISNUMBER(G17/B17),G17/B17," - ")</f>
        <v>285</v>
      </c>
      <c r="I17" s="406">
        <f>IF(ISNUMBER(IF(D_I="SI",Datos!L17,Datos!L17+Datos!AF17)),IF(D_I="SI",Datos!L17,Datos!L17+Datos!AF17)," - ")</f>
        <v>151</v>
      </c>
      <c r="J17" s="407">
        <f>IF(ISNUMBER(I17/B17),I17/B17," - ")</f>
        <v>151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4064</v>
      </c>
      <c r="D18" s="853" t="str">
        <f>IF(ISNUMBER(C18/Datos!BI18),C18/Datos!BI18," - ")</f>
        <v xml:space="preserve"> - </v>
      </c>
      <c r="E18" s="852">
        <f>SUBTOTAL(9,E14:E17)</f>
        <v>4932</v>
      </c>
      <c r="F18" s="853">
        <f>IF(ISNUMBER(E18/B18),E18/B18," - ")</f>
        <v>822</v>
      </c>
      <c r="G18" s="852">
        <f>SUBTOTAL(9,G14:G17)</f>
        <v>4755</v>
      </c>
      <c r="H18" s="853">
        <f>IF(ISNUMBER(G18/B18),G18/B18," - ")</f>
        <v>792.5</v>
      </c>
      <c r="I18" s="852">
        <f>SUBTOTAL(9,I14:I17)</f>
        <v>3988</v>
      </c>
      <c r="J18" s="853">
        <f>IF(ISNUMBER(I18/B18),I18/B18," - ")</f>
        <v>664.66666666666663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14506</v>
      </c>
      <c r="D19" s="798" t="str">
        <f>IF(ISNUMBER(C19/Datos!BI19),C19/Datos!BI19," - ")</f>
        <v xml:space="preserve"> - </v>
      </c>
      <c r="E19" s="797">
        <f>SUBTOTAL(9,E9:E18)</f>
        <v>7567</v>
      </c>
      <c r="F19" s="798">
        <f>IF(ISNUMBER(E19/B19),E19/B19," - ")</f>
        <v>540.5</v>
      </c>
      <c r="G19" s="797">
        <f>SUBTOTAL(9,G9:G18)</f>
        <v>7349</v>
      </c>
      <c r="H19" s="798">
        <f>IF(ISNUMBER(G19/B19),G19/B19," - ")</f>
        <v>524.92857142857144</v>
      </c>
      <c r="I19" s="797">
        <f>SUBTOTAL(9,I9:I18)</f>
        <v>14451</v>
      </c>
      <c r="J19" s="798">
        <f>IF(ISNUMBER(I19/B19),I19/B19," - ")</f>
        <v>1032.2142857142858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fs5j/vJNLgdzPpq/08viKifaBPpGsi9vACCbWMyKfBw5ujFRJk9ctrxXi1TdFfOJmQvL3uSlPxnfeufld4jaw==" saltValue="Gx2wipQKIxFkrSqJf7wu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MARBELLA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71</v>
      </c>
      <c r="G10" s="687">
        <f>IF(ISNUMBER(Datos!I10),Datos!I10," - ")</f>
        <v>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v>
      </c>
      <c r="AC10" s="686" t="str">
        <f>IF(ISNUMBER(IF(D_I="SI",DatosP!K17,DatosP!K17+DatosP!AE17)),IF(D_I="SI",DatosP!K17,DatosP!K17+DatosP!AE17)," - ")</f>
        <v xml:space="preserve"> - </v>
      </c>
      <c r="AD10" s="688"/>
      <c r="AE10" s="688"/>
      <c r="AF10" s="691">
        <f>IF(ISNUMBER(Datos!L10),Datos!L10,"-")</f>
        <v>80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12.631578947368419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71</v>
      </c>
      <c r="G13" s="941">
        <f t="shared" si="0"/>
        <v>90</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v>
      </c>
      <c r="AC13" s="942">
        <f t="shared" si="1"/>
        <v>0</v>
      </c>
      <c r="AD13" s="942">
        <f t="shared" si="1"/>
        <v>0</v>
      </c>
      <c r="AE13" s="942">
        <f t="shared" si="1"/>
        <v>0</v>
      </c>
      <c r="AF13" s="942">
        <f t="shared" si="1"/>
        <v>80</v>
      </c>
      <c r="AG13" s="942">
        <f t="shared" si="1"/>
        <v>0</v>
      </c>
      <c r="AH13" s="942">
        <f t="shared" si="1"/>
        <v>0</v>
      </c>
      <c r="AI13" s="942">
        <f t="shared" si="1"/>
        <v>0</v>
      </c>
      <c r="AJ13" s="942">
        <f t="shared" si="1"/>
        <v>0</v>
      </c>
      <c r="AK13" s="942">
        <f t="shared" si="1"/>
        <v>0</v>
      </c>
      <c r="AL13" s="942">
        <f t="shared" si="1"/>
        <v>5</v>
      </c>
      <c r="AM13" s="942">
        <f t="shared" si="1"/>
        <v>11</v>
      </c>
      <c r="AN13" s="942">
        <f t="shared" si="1"/>
        <v>0</v>
      </c>
      <c r="AO13" s="942">
        <f t="shared" si="1"/>
        <v>0</v>
      </c>
      <c r="AP13" s="947">
        <f>IF(ISNUMBER(((Datos!L13/Datos!K13)*11)/factor_trimestre),((Datos!L13/Datos!K13)*11)/factor_trimestre," - ")</f>
        <v>12.41501014198783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-0.26760563380281688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2.51608832807571</v>
      </c>
      <c r="AQ18" s="947">
        <f>IF(ISNUMBER(((Datos!M18/Datos!L18)*11)/factor_trimestre),((Datos!M18/Datos!L18)*11)/factor_trimestre," - ")</f>
        <v>0.31519558676028087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-1.3333333333333334E-2</v>
      </c>
      <c r="AW18" s="949">
        <f>IF(ISNUMBER((Datos!Q18-Datos!R18)/(Datos!S18-Datos!Q18+Datos!R18)),(Datos!Q18-Datos!R18)/(Datos!S18-Datos!Q18+Datos!R18)," - ")</f>
        <v>-5.0865512649800264E-2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71</v>
      </c>
      <c r="G19" s="954">
        <f t="shared" si="4"/>
        <v>90</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v>
      </c>
      <c r="AC19" s="960">
        <f t="shared" si="5"/>
        <v>0</v>
      </c>
      <c r="AD19" s="960">
        <f t="shared" si="5"/>
        <v>0</v>
      </c>
      <c r="AE19" s="960">
        <f t="shared" si="5"/>
        <v>0</v>
      </c>
      <c r="AF19" s="961">
        <f t="shared" si="5"/>
        <v>80</v>
      </c>
      <c r="AG19" s="961">
        <f t="shared" si="5"/>
        <v>0</v>
      </c>
      <c r="AH19" s="961">
        <f t="shared" si="5"/>
        <v>0</v>
      </c>
      <c r="AI19" s="961">
        <f t="shared" si="5"/>
        <v>0</v>
      </c>
      <c r="AJ19" s="962">
        <f t="shared" si="5"/>
        <v>0</v>
      </c>
      <c r="AK19" s="962">
        <f t="shared" si="5"/>
        <v>0</v>
      </c>
      <c r="AL19" s="954">
        <f t="shared" si="5"/>
        <v>5</v>
      </c>
      <c r="AM19" s="954">
        <f t="shared" si="5"/>
        <v>11</v>
      </c>
      <c r="AN19" s="954">
        <f t="shared" si="5"/>
        <v>0</v>
      </c>
      <c r="AO19" s="954">
        <f t="shared" si="5"/>
        <v>0</v>
      </c>
      <c r="AP19" s="954">
        <f>IF(ISNUMBER(((Datos!L19/Datos!K19)*11)/factor_trimestre),((Datos!L19/Datos!K19)*11)/factor_trimestre," - ")</f>
        <v>5.8957063711911362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-0.26760563380281688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9.6906448005963479E-3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4.2895221179054435</v>
      </c>
      <c r="F21" s="739">
        <f>IF(ISNUMBER(STDEV(F8:F18)),STDEV(F8:F18),"-")</f>
        <v>40.991869112463434</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5.7786778417790359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KCewnju0A0OiPKlvanReeveanRLeIaXEPwRpBE6EMWU6L4OMvthEMchp9qyWyOxFQEscSLMVpBn2iSrLMcwKw==" saltValue="oQTH3O+PIcsGAo/GpdRe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MARBELLA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rItyU5EDcWFK4cJeYNITpJqne9Ir+Vzjkm3sIzKTvsplqRqqEYVqHjuh36bAG2WuF1ok+50FjZyZXeqK8+l0Q==" saltValue="aV5U/yaBmk1MdwfE9hwq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MARBELLA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659</v>
      </c>
      <c r="E9" s="407">
        <f t="shared" ref="E9:E13" si="0">IF(ISNUMBER(D9/B9),D9/B9," - ")</f>
        <v>82.375</v>
      </c>
      <c r="F9" s="406">
        <f>IF(ISNUMBER(Datos!N9),Datos!N9," - ")</f>
        <v>796</v>
      </c>
      <c r="G9" s="407">
        <f t="shared" ref="G9:G13" si="1">IF(ISNUMBER(F9/B9),F9/B9," - ")</f>
        <v>99.5</v>
      </c>
      <c r="H9" s="406">
        <f>IF(ISNUMBER(Datos!O9),Datos!O9," - ")</f>
        <v>1434</v>
      </c>
      <c r="I9" s="407">
        <f>IF(ISNUMBER(H9/B9),H9/B9," - ")</f>
        <v>179.25</v>
      </c>
    </row>
    <row r="10" spans="1:9">
      <c r="A10" s="405" t="str">
        <f>Datos!A10</f>
        <v>Jdos. Violencia contra la mujer</v>
      </c>
      <c r="B10" s="430">
        <f>Datos!AO10</f>
        <v>1</v>
      </c>
      <c r="C10" s="413">
        <f>Datos!AQ10</f>
        <v>1</v>
      </c>
      <c r="D10" s="406">
        <f>IF(ISNUMBER(Datos!M10),Datos!M10," - ")</f>
        <v>5</v>
      </c>
      <c r="E10" s="407">
        <f>IF(ISNUMBER(D10/B10),D10/B10," - ")</f>
        <v>5</v>
      </c>
      <c r="F10" s="406">
        <f>IF(ISNUMBER(Datos!N10),Datos!N10," - ")</f>
        <v>11</v>
      </c>
      <c r="G10" s="407">
        <f>IF(ISNUMBER(F10/B10),F10/B10," - ")</f>
        <v>11</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664</v>
      </c>
      <c r="E13" s="853">
        <f t="shared" si="0"/>
        <v>73.777777777777771</v>
      </c>
      <c r="F13" s="852">
        <f>SUBTOTAL(9,F9:F12)</f>
        <v>807</v>
      </c>
      <c r="G13" s="853">
        <f t="shared" si="1"/>
        <v>89.666666666666671</v>
      </c>
      <c r="H13" s="852">
        <f>SUBTOTAL(9,H9:H12)</f>
        <v>1437</v>
      </c>
      <c r="I13" s="853">
        <f>IF(ISNUMBER(H13/B13),H13/B13," - ")</f>
        <v>159.66666666666666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386</v>
      </c>
      <c r="E15" s="407">
        <f t="shared" ref="E15:E18" si="3">IF(ISNUMBER(D15/B15),D15/B15," - ")</f>
        <v>77.2</v>
      </c>
      <c r="F15" s="406">
        <f>IF(ISNUMBER(Datos!N15),Datos!N15," - ")</f>
        <v>3177</v>
      </c>
      <c r="G15" s="407">
        <f t="shared" ref="G15:G18" si="4">IF(ISNUMBER(F15/B15),F15/B15," - ")</f>
        <v>635.4</v>
      </c>
      <c r="H15" s="406">
        <f>IF(ISNUMBER(Datos!O15),Datos!O15," - ")</f>
        <v>24</v>
      </c>
      <c r="I15" s="407">
        <f t="shared" ref="I15:I17" si="5">IF(ISNUMBER(H15/B15),H15/B15," - ")</f>
        <v>4.8</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33</v>
      </c>
      <c r="E17" s="407">
        <f>IF(ISNUMBER(D17/B17),D17/B17," - ")</f>
        <v>33</v>
      </c>
      <c r="F17" s="406">
        <f>IF(ISNUMBER(Datos!N17),Datos!N17," - ")</f>
        <v>120</v>
      </c>
      <c r="G17" s="407">
        <f>IF(ISNUMBER(F17/B17),F17/B17," - ")</f>
        <v>120</v>
      </c>
      <c r="H17" s="406">
        <f>IF(ISNUMBER(Datos!O17),Datos!O17," - ")</f>
        <v>0</v>
      </c>
      <c r="I17" s="407">
        <f t="shared" si="5"/>
        <v>0</v>
      </c>
    </row>
    <row r="18" spans="1:9" ht="14.25" thickTop="1" thickBot="1">
      <c r="A18" s="851" t="str">
        <f>Datos!A18</f>
        <v>TOTAL</v>
      </c>
      <c r="B18" s="852">
        <f>Datos!AO18</f>
        <v>6</v>
      </c>
      <c r="C18" s="854">
        <f>Datos!AR18</f>
        <v>6</v>
      </c>
      <c r="D18" s="852">
        <f>SUBTOTAL(9,D15:D17)</f>
        <v>419</v>
      </c>
      <c r="E18" s="853">
        <f t="shared" si="3"/>
        <v>69.833333333333329</v>
      </c>
      <c r="F18" s="852">
        <f>SUBTOTAL(9,F15:F17)</f>
        <v>3297</v>
      </c>
      <c r="G18" s="853">
        <f t="shared" si="4"/>
        <v>549.5</v>
      </c>
      <c r="H18" s="852">
        <f>SUBTOTAL(9,H15:H17)</f>
        <v>24</v>
      </c>
      <c r="I18" s="853">
        <f>IF(ISNUMBER(H18/B18),H18/B18," - ")</f>
        <v>4</v>
      </c>
    </row>
    <row r="19" spans="1:9" ht="14.25" thickTop="1" thickBot="1">
      <c r="A19" s="796" t="str">
        <f>Datos!A19</f>
        <v>TOTAL JURISDICCIONES</v>
      </c>
      <c r="B19" s="797">
        <f>Datos!AP19</f>
        <v>14</v>
      </c>
      <c r="C19" s="797">
        <f>Datos!AR19</f>
        <v>14</v>
      </c>
      <c r="D19" s="797">
        <f>SUBTOTAL(9,D8:D18)</f>
        <v>1083</v>
      </c>
      <c r="E19" s="798">
        <f>IF(ISNUMBER(D19/B19),D19/B19," - ")</f>
        <v>77.357142857142861</v>
      </c>
      <c r="F19" s="797">
        <f>SUBTOTAL(9,F8:F18)</f>
        <v>4104</v>
      </c>
      <c r="G19" s="798">
        <f>IF(ISNUMBER(F19/B19),F19/B19," - ")</f>
        <v>293.14285714285717</v>
      </c>
      <c r="H19" s="797">
        <f>SUBTOTAL(9,H8:H18)</f>
        <v>1461</v>
      </c>
      <c r="I19" s="798">
        <f>IF(ISNUMBER(H19/B19),H19/B19," - ")</f>
        <v>104.35714285714286</v>
      </c>
    </row>
    <row r="22" spans="1:9">
      <c r="A22" s="394" t="str">
        <f>Criterios!A4</f>
        <v>Fecha Informe: 07 mar. 2024</v>
      </c>
    </row>
    <row r="27" spans="1:9">
      <c r="A27" s="417"/>
    </row>
  </sheetData>
  <sheetProtection algorithmName="SHA-512" hashValue="szbQEah13OibksgFw9vYH/1M26rTGLzd7jtVmuFmFVlex1WKWn0bs1UxNwdnwvdcTBIW0zHEBwUvBRmD+mS9XA==" saltValue="GgLCQXpGaIyOrkyEExKJ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MARBELLA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692</v>
      </c>
      <c r="C9" s="437">
        <f>IF(ISNUMBER(Datos!Q9),Datos!Q9," - ")</f>
        <v>587</v>
      </c>
      <c r="D9" s="411">
        <f>IF(ISNUMBER(Datos!R9),Datos!R9," - ")</f>
        <v>10400</v>
      </c>
    </row>
    <row r="10" spans="1:4">
      <c r="A10" s="405" t="str">
        <f>Datos!A10</f>
        <v>Jdos. Violencia contra la mujer</v>
      </c>
      <c r="B10" s="436">
        <f>IF(ISNUMBER(Datos!P10),Datos!P10," - ")</f>
        <v>4</v>
      </c>
      <c r="C10" s="437">
        <f>IF(ISNUMBER(Datos!Q10),Datos!Q10," - ")</f>
        <v>1</v>
      </c>
      <c r="D10" s="411">
        <f>IF(ISNUMBER(Datos!R10),Datos!R10," - ")</f>
        <v>140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696</v>
      </c>
      <c r="C13" s="856">
        <f>SUBTOTAL(9,C9:C12)</f>
        <v>588</v>
      </c>
      <c r="D13" s="854">
        <f>SUBTOTAL(9,D9:D12)</f>
        <v>10540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99</v>
      </c>
      <c r="C15" s="437">
        <f>IF(ISNUMBER(Datos!Q15),Datos!Q15," - ")</f>
        <v>99</v>
      </c>
      <c r="D15" s="411">
        <f>IF(ISNUMBER(Datos!R15),Datos!R15," - ")</f>
        <v>293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6</v>
      </c>
      <c r="D17" s="411">
        <f>IF(ISNUMBER(Datos!R17),Datos!R17," - ")</f>
        <v>3</v>
      </c>
    </row>
    <row r="18" spans="1:4" ht="14.25" thickTop="1" thickBot="1">
      <c r="A18" s="851" t="str">
        <f>Datos!A18</f>
        <v>TOTAL</v>
      </c>
      <c r="B18" s="852">
        <f>SUBTOTAL(9,B15:B17)</f>
        <v>101</v>
      </c>
      <c r="C18" s="856">
        <f>SUBTOTAL(9,C15:C17)</f>
        <v>105</v>
      </c>
      <c r="D18" s="854">
        <f>SUBTOTAL(9,D15:D17)</f>
        <v>296</v>
      </c>
    </row>
    <row r="19" spans="1:4" ht="16.5" customHeight="1" thickTop="1" thickBot="1">
      <c r="A19" s="796" t="str">
        <f>Datos!A19</f>
        <v>TOTAL JURISDICCIONES</v>
      </c>
      <c r="B19" s="801">
        <f>SUBTOTAL(9,B8:B18)</f>
        <v>797</v>
      </c>
      <c r="C19" s="802">
        <f>SUBTOTAL(9,C8:C18)</f>
        <v>693</v>
      </c>
      <c r="D19" s="803">
        <f>SUBTOTAL(9,D8:D18)</f>
        <v>10836</v>
      </c>
    </row>
    <row r="20" spans="1:4" ht="7.5" customHeight="1"/>
    <row r="21" spans="1:4" ht="6" customHeight="1"/>
    <row r="22" spans="1:4">
      <c r="A22" s="394" t="str">
        <f>Criterios!A4</f>
        <v>Fecha Informe: 07 mar. 2024</v>
      </c>
    </row>
    <row r="27" spans="1:4">
      <c r="A27" s="417"/>
    </row>
  </sheetData>
  <sheetProtection algorithmName="SHA-512" hashValue="CvNb8vKiBzrNTX59YlN9xiQ+r/qdmDkcO1z7mF2f+6qOx+hxBB1KcaPoWTtrm2gGPuI8CaxphkOxE3EddzeP7g==" saltValue="KJ439msgB00BCbR1QTMp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MARBELLA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0.24888406321631076</v>
      </c>
      <c r="C9" s="459">
        <f>IF(ISNUMBER(
   IF(J_V="SI",(Datos!J9-Datos!T9)/Datos!T9,(Datos!J9+Datos!Z9-(Datos!T9+Datos!AH9))/(Datos!T9+Datos!AH9))
     ),IF(J_V="SI",(Datos!J9-Datos!T9)/Datos!T9,(Datos!J9+Datos!Z9-(Datos!T9+Datos!AH9))/(Datos!T9+Datos!AH9))," - ")</f>
        <v>-3.587278106508876E-2</v>
      </c>
      <c r="D9" s="459">
        <f>IF(ISNUMBER(
   IF(J_V="SI",(Datos!K9-Datos!U9)/Datos!U9,(Datos!K9+Datos!AA9-(Datos!U9+Datos!AI9))/(Datos!U9+Datos!AI9))
     ),IF(J_V="SI",(Datos!K9-Datos!U9)/Datos!U9,(Datos!K9+Datos!AA9-(Datos!U9+Datos!AI9))/(Datos!U9+Datos!AI9))," - ")</f>
        <v>5.0163132137030997E-2</v>
      </c>
      <c r="E9" s="459">
        <f>IF(ISNUMBER(
   IF(J_V="SI",(Datos!L9-Datos!V9)/Datos!V9,(Datos!L9+Datos!AB9-(Datos!V9+Datos!AJ9))/(Datos!V9+Datos!AJ9))
     ),IF(J_V="SI",(Datos!L9-Datos!V9)/Datos!V9,(Datos!L9+Datos!AB9-(Datos!V9+Datos!AJ9))/(Datos!V9+Datos!AJ9))," - ")</f>
        <v>0.21325075952325309</v>
      </c>
      <c r="F9" s="459">
        <f>IF(ISNUMBER((Datos!M9-Datos!W9)/Datos!W9),(Datos!M9-Datos!W9)/Datos!W9," - ")</f>
        <v>4.4374009508716325E-2</v>
      </c>
      <c r="G9" s="460">
        <f>IF(ISNUMBER((Datos!N9-Datos!X9)/Datos!X9),(Datos!N9-Datos!X9)/Datos!X9," - ")</f>
        <v>-0.10259301014656144</v>
      </c>
      <c r="H9" s="458">
        <f>IF(ISNUMBER(((NºAsuntos!G9/NºAsuntos!E9)-Datos!BD9)/Datos!BD9),((NºAsuntos!G9/NºAsuntos!E9)-Datos!BD9)/Datos!BD9," - ")</f>
        <v>8.9237096010177097E-2</v>
      </c>
      <c r="I9" s="459">
        <f>IF(ISNUMBER(((NºAsuntos!I9/NºAsuntos!G9)-Datos!BE9)/Datos!BE9),((NºAsuntos!I9/NºAsuntos!G9)-Datos!BE9)/Datos!BE9," - ")</f>
        <v>0.15529742227223933</v>
      </c>
      <c r="J9" s="464">
        <f>IF(ISNUMBER((('Resol  Asuntos'!D9/NºAsuntos!G9)-Datos!BF9)/Datos!BF9),(('Resol  Asuntos'!D9/NºAsuntos!G9)-Datos!BF9)/Datos!BF9," - ")</f>
        <v>-0.2925348890664507</v>
      </c>
      <c r="K9" s="465">
        <f>IF(ISNUMBER((((NºAsuntos!C9+NºAsuntos!E9)/NºAsuntos!G9)-Datos!BG9)/Datos!BG9),(((NºAsuntos!C9+NºAsuntos!E9)/NºAsuntos!G9)-Datos!BG9)/Datos!BG9," - ")</f>
        <v>0.12253139023155944</v>
      </c>
    </row>
    <row r="10" spans="1:11">
      <c r="A10" s="405" t="str">
        <f>Datos!A10</f>
        <v>Jdos. Violencia contra la mujer</v>
      </c>
      <c r="B10" s="458">
        <f>IF(ISNUMBER((Datos!I10-Datos!S10)/Datos!S10),(Datos!I10-Datos!S10)/Datos!S10," - ")</f>
        <v>0.21621621621621623</v>
      </c>
      <c r="C10" s="459">
        <f>IF(ISNUMBER((Datos!J10-Datos!T10)/Datos!T10),(Datos!J10-Datos!T10)/Datos!T10," - ")</f>
        <v>-6.6666666666666666E-2</v>
      </c>
      <c r="D10" s="459">
        <f>IF(ISNUMBER((Datos!K10-Datos!U10)/Datos!U10),(Datos!K10-Datos!U10)/Datos!U10," - ")</f>
        <v>0.35714285714285715</v>
      </c>
      <c r="E10" s="459">
        <f>IF(ISNUMBER((Datos!L10-Datos!V10)/Datos!V10),(Datos!L10-Datos!V10)/Datos!V10," - ")</f>
        <v>-0.1111111111111111</v>
      </c>
      <c r="F10" s="459">
        <f>IF(ISNUMBER((Datos!M10-Datos!W10)/Datos!W10),(Datos!M10-Datos!W10)/Datos!W10," - ")</f>
        <v>0.66666666666666663</v>
      </c>
      <c r="G10" s="460">
        <f>IF(ISNUMBER((Datos!N10-Datos!X10)/Datos!X10),(Datos!N10-Datos!X10)/Datos!X10," - ")</f>
        <v>0.22222222222222221</v>
      </c>
      <c r="H10" s="458">
        <f>IF(ISNUMBER(((NºAsuntos!G10/NºAsuntos!E10)-Datos!BD10)/Datos!BD10),((NºAsuntos!G10/NºAsuntos!E10)-Datos!BD10)/Datos!BD10," - ")</f>
        <v>0.45408163265306128</v>
      </c>
      <c r="I10" s="459">
        <f>IF(ISNUMBER(((NºAsuntos!I10/NºAsuntos!G10)-Datos!BE10)/Datos!BE10),((NºAsuntos!I10/NºAsuntos!G10)-Datos!BE10)/Datos!BE10," - ")</f>
        <v>-0.34502923976608191</v>
      </c>
      <c r="J10" s="464">
        <f>IF(ISNUMBER((('Resol  Asuntos'!D10/NºAsuntos!G10)-Datos!BF10)/Datos!BF10),(('Resol  Asuntos'!D10/NºAsuntos!G10)-Datos!BF10)/Datos!BF10," - ")</f>
        <v>0.22807017543859648</v>
      </c>
      <c r="K10" s="465">
        <f>IF(ISNUMBER((((NºAsuntos!C10+NºAsuntos!E10)/NºAsuntos!G10)-Datos!BG10)/Datos!BG10),(((NºAsuntos!C10+NºAsuntos!E10)/NºAsuntos!G10)-Datos!BG10)/Datos!BG10," - ")</f>
        <v>-0.16396761133603244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0.24859500179361474</v>
      </c>
      <c r="C13" s="858">
        <f>IF(ISNUMBER(
   IF(J_V="SI",(Datos!J13-Datos!T13)/Datos!T13,(Datos!J13+Datos!Z13-(Datos!T13+Datos!AH13))/(Datos!T13+Datos!AH13))
     ),IF(J_V="SI",(Datos!J13-Datos!T13)/Datos!T13,(Datos!J13+Datos!Z13-(Datos!T13+Datos!AH13))/(Datos!T13+Datos!AH13))," - ")</f>
        <v>-3.6210680321872711E-2</v>
      </c>
      <c r="D13" s="858">
        <f>IF(ISNUMBER(
   IF(J_V="SI",(Datos!K13-Datos!U13)/Datos!U13,(Datos!K13+Datos!AA13-(Datos!U13+Datos!AI13))/(Datos!U13+Datos!AI13))
     ),IF(J_V="SI",(Datos!K13-Datos!U13)/Datos!U13,(Datos!K13+Datos!AA13-(Datos!U13+Datos!AI13))/(Datos!U13+Datos!AI13))," - ")</f>
        <v>5.1905920519059207E-2</v>
      </c>
      <c r="E13" s="858">
        <f>IF(ISNUMBER(
   IF(J_V="SI",(Datos!L13-Datos!V13)/Datos!V13,(Datos!L13+Datos!AB13-(Datos!V13+Datos!AJ13))/(Datos!V13+Datos!AJ13))
     ),IF(J_V="SI",(Datos!L13-Datos!V13)/Datos!V13,(Datos!L13+Datos!AB13-(Datos!V13+Datos!AJ13))/(Datos!V13+Datos!AJ13))," - ")</f>
        <v>0.20987511563367253</v>
      </c>
      <c r="F13" s="859">
        <f>IF(ISNUMBER((Datos!M13-Datos!W13)/Datos!W13),(Datos!M13-Datos!W13)/Datos!W13," - ")</f>
        <v>4.7318611987381701E-2</v>
      </c>
      <c r="G13" s="860">
        <f>IF(ISNUMBER((Datos!N13-Datos!X13)/Datos!X13),(Datos!N13-Datos!X13)/Datos!X13," - ")</f>
        <v>-9.9330357142857137E-2</v>
      </c>
      <c r="H13" s="860">
        <f>IF(ISNUMBER(((NºAsuntos!G13/NºAsuntos!E13)-Datos!BD13)/Datos!BD13),((NºAsuntos!G13/NºAsuntos!E13)-Datos!BD13)/Datos!BD13," - ")</f>
        <v>9.1427243529073179E-2</v>
      </c>
      <c r="I13" s="860">
        <f>IF(ISNUMBER(((NºAsuntos!I13/NºAsuntos!G13)-Datos!BE13)/Datos!BE13),((NºAsuntos!I13/NºAsuntos!G13)-Datos!BE13)/Datos!BE13," - ")</f>
        <v>0.15017426181674493</v>
      </c>
      <c r="J13" s="860">
        <f>IF(ISNUMBER((('Resol  Asuntos'!D13/NºAsuntos!G13)-Datos!BF13)/Datos!BF13),(('Resol  Asuntos'!D13/NºAsuntos!G13)-Datos!BF13)/Datos!BF13," - ")</f>
        <v>-0.29074701341903952</v>
      </c>
      <c r="K13" s="860">
        <f>IF(ISNUMBER((((NºAsuntos!C13+NºAsuntos!E13)/NºAsuntos!G13)-Datos!BG13)/Datos!BG13),(((NºAsuntos!C13+NºAsuntos!E13)/NºAsuntos!G13)-Datos!BG13)/Datos!BG13," - ")</f>
        <v>0.12027756360832696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0.13435423288067033</v>
      </c>
      <c r="C15" s="459">
        <f>IF(ISNUMBER(
   IF(D_I="SI",(Datos!J15-Datos!T15)/Datos!T15,(Datos!J15+Datos!AD15-(Datos!T15+Datos!AL15))/(Datos!T15+Datos!AL15))
     ),IF(D_I="SI",(Datos!J15-Datos!T15)/Datos!T15,(Datos!J15+Datos!AD15-(Datos!T15+Datos!AL15))/(Datos!T15+Datos!AL15))," - ")</f>
        <v>1.8884497145366712E-2</v>
      </c>
      <c r="D15" s="459">
        <f>IF(ISNUMBER(
   IF(D_I="SI",(Datos!K15-Datos!U15)/Datos!U15,(Datos!K15+Datos!AE15-(Datos!U15+Datos!AM15))/(Datos!U15+Datos!AM15))
     ),IF(D_I="SI",(Datos!K15-Datos!U15)/Datos!U15,(Datos!K15+Datos!AE15-(Datos!U15+Datos!AM15))/(Datos!U15+Datos!AM15))," - ")</f>
        <v>-0.1045673076923077</v>
      </c>
      <c r="E15" s="459">
        <f>IF(ISNUMBER(
   IF(D_I="SI",(Datos!L15-Datos!V15)/Datos!V15,(Datos!L15+Datos!AF15-(Datos!V15+Datos!AN15))/(Datos!V15+Datos!AN15))
     ),IF(D_I="SI",(Datos!L15-Datos!V15)/Datos!V15,(Datos!L15+Datos!AF15-(Datos!V15+Datos!AN15))/(Datos!V15+Datos!AN15))," - ")</f>
        <v>0.25228459530026109</v>
      </c>
      <c r="F15" s="459">
        <f>IF(ISNUMBER((Datos!M15-Datos!W15)/Datos!W15),(Datos!M15-Datos!W15)/Datos!W15," - ")</f>
        <v>2.5974025974025974E-3</v>
      </c>
      <c r="G15" s="460">
        <f>IF(ISNUMBER((Datos!N15-Datos!X15)/Datos!X15),(Datos!N15-Datos!X15)/Datos!X15," - ")</f>
        <v>-5.7829181494661923E-2</v>
      </c>
      <c r="H15" s="458">
        <f>IF(ISNUMBER(((NºAsuntos!G15/NºAsuntos!E15)-Datos!BD15)/Datos!BD15),((NºAsuntos!G15/NºAsuntos!E15)-Datos!BD15)/Datos!BD15," - ")</f>
        <v>-0.12116368948938989</v>
      </c>
      <c r="I15" s="459">
        <f>IF(ISNUMBER(((NºAsuntos!I15/NºAsuntos!G15)-Datos!BE15)/Datos!BE15),((NºAsuntos!I15/NºAsuntos!G15)-Datos!BE15)/Datos!BE15," - ")</f>
        <v>0.39852454132861365</v>
      </c>
      <c r="J15" s="464">
        <f>IF(ISNUMBER((('Resol  Asuntos'!D15/NºAsuntos!G15)-Datos!BF15)/Datos!BF15),(('Resol  Asuntos'!D15/NºAsuntos!G15)-Datos!BF15)/Datos!BF15," - ")</f>
        <v>0.11967924692756898</v>
      </c>
      <c r="K15" s="465">
        <f>IF(ISNUMBER((((NºAsuntos!C15+NºAsuntos!E15)/NºAsuntos!G15)-Datos!BG15)/Datos!BG15),(((NºAsuntos!C15+NºAsuntos!E15)/NºAsuntos!G15)-Datos!BG15)/Datos!BG15," - ")</f>
        <v>0.19355269272798062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0.33980582524271846</v>
      </c>
      <c r="C17" s="459">
        <f>IF(ISNUMBER(
   IF(D_I="SI",(Datos!J17-Datos!T17)/Datos!T17,(Datos!J17+Datos!AD17-(Datos!T17+Datos!AL17))/(Datos!T17+Datos!AL17))
     ),IF(D_I="SI",(Datos!J17-Datos!T17)/Datos!T17,(Datos!J17+Datos!AD17-(Datos!T17+Datos!AL17))/(Datos!T17+Datos!AL17))," - ")</f>
        <v>-3.9473684210526314E-2</v>
      </c>
      <c r="D17" s="459">
        <f>IF(ISNUMBER(
   IF(D_I="SI",(Datos!K17-Datos!U17)/Datos!U17,(Datos!K17+Datos!AE17-(Datos!U17+Datos!AM17))/(Datos!U17+Datos!AM17))
     ),IF(D_I="SI",(Datos!K17-Datos!U17)/Datos!U17,(Datos!K17+Datos!AE17-(Datos!U17+Datos!AM17))/(Datos!U17+Datos!AM17))," - ")</f>
        <v>-6.25E-2</v>
      </c>
      <c r="E17" s="459">
        <f>IF(ISNUMBER(
   IF(D_I="SI",(Datos!L17-Datos!V17)/Datos!V17,(Datos!L17+Datos!AF17-(Datos!V17+Datos!AN17))/(Datos!V17+Datos!AN17))
     ),IF(D_I="SI",(Datos!L17-Datos!V17)/Datos!V17,(Datos!L17+Datos!AF17-(Datos!V17+Datos!AN17))/(Datos!V17+Datos!AN17))," - ")</f>
        <v>0.36036036036036034</v>
      </c>
      <c r="F17" s="459">
        <f>IF(ISNUMBER((Datos!M17-Datos!W17)/Datos!W17),(Datos!M17-Datos!W17)/Datos!W17," - ")</f>
        <v>0.1</v>
      </c>
      <c r="G17" s="460">
        <f>IF(ISNUMBER((Datos!N17-Datos!X17)/Datos!X17),(Datos!N17-Datos!X17)/Datos!X17," - ")</f>
        <v>8.4033613445378148E-3</v>
      </c>
      <c r="H17" s="458">
        <f>IF(ISNUMBER(((NºAsuntos!G17/NºAsuntos!E17)-Datos!BD17)/Datos!BD17),((NºAsuntos!G17/NºAsuntos!E17)-Datos!BD17)/Datos!BD17," - ")</f>
        <v>-2.3972602739726012E-2</v>
      </c>
      <c r="I17" s="459">
        <f>IF(ISNUMBER(((NºAsuntos!I17/NºAsuntos!G17)-Datos!BE17)/Datos!BE17),((NºAsuntos!I17/NºAsuntos!G17)-Datos!BE17)/Datos!BE17," - ")</f>
        <v>0.45105105105105103</v>
      </c>
      <c r="J17" s="464">
        <f>IF(ISNUMBER((('Resol  Asuntos'!D17/NºAsuntos!G17)-Datos!BF17)/Datos!BF17),(('Resol  Asuntos'!D17/NºAsuntos!G17)-Datos!BF17)/Datos!BF17," - ")</f>
        <v>0.17333333333333331</v>
      </c>
      <c r="K17" s="465">
        <f>IF(ISNUMBER((((NºAsuntos!C17+NºAsuntos!E17)/NºAsuntos!G17)-Datos!BG17)/Datos!BG17),(((NºAsuntos!C17+NºAsuntos!E17)/NºAsuntos!G17)-Datos!BG17)/Datos!BG17," - ")</f>
        <v>0.12694512694512688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0.14029180695847362</v>
      </c>
      <c r="C18" s="858">
        <f>IF(ISNUMBER(
   IF(Criterios!B14="SI",(Datos!J18-Datos!T18)/Datos!T18,(Datos!J18+Datos!AD18-(Datos!T18+Datos!AL18))/(Datos!T18+Datos!AL18))
     ),IF(Criterios!B14="SI",(Datos!J18-Datos!T18)/Datos!T18,(Datos!J18+Datos!AD18-(Datos!T18+Datos!AL18))/(Datos!T18+Datos!AL18))," - ")</f>
        <v>1.5232606010703994E-2</v>
      </c>
      <c r="D18" s="858">
        <f>IF(ISNUMBER(
   IF(Criterios!B14="SI",(Datos!K18-Datos!U18)/Datos!U18,(Datos!K18+Datos!AE18-(Datos!U18+Datos!AM18))/(Datos!U18+Datos!AM18))
     ),IF(Criterios!B14="SI",(Datos!K18-Datos!U18)/Datos!U18,(Datos!K18+Datos!AE18-(Datos!U18+Datos!AM18))/(Datos!U18+Datos!AM18))," - ")</f>
        <v>-0.10215256797583082</v>
      </c>
      <c r="E18" s="858">
        <f>IF(ISNUMBER(
   IF(Criterios!B14="SI",(Datos!L18-Datos!V18)/Datos!V18,(Datos!L18+Datos!AF18-(Datos!V18+Datos!AN18))/(Datos!V18+Datos!AN18))
     ),IF(Criterios!B14="SI",(Datos!L18-Datos!V18)/Datos!V18,(Datos!L18+Datos!AF18-(Datos!V18+Datos!AN18))/(Datos!V18+Datos!AN18))," - ")</f>
        <v>0.25606299212598427</v>
      </c>
      <c r="F18" s="859">
        <f>IF(ISNUMBER((Datos!M18-Datos!W18)/Datos!W18),(Datos!M18-Datos!W18)/Datos!W18," - ")</f>
        <v>9.6385542168674707E-3</v>
      </c>
      <c r="G18" s="860">
        <f>IF(ISNUMBER((Datos!N18-Datos!X18)/Datos!X18),(Datos!N18-Datos!X18)/Datos!X18," - ")</f>
        <v>-5.5571469492981952E-2</v>
      </c>
      <c r="H18" s="860">
        <f>IF(ISNUMBER(((NºAsuntos!G18/NºAsuntos!E18)-Datos!BD18)/Datos!BD18),((NºAsuntos!G18/NºAsuntos!E18)-Datos!BD18)/Datos!BD18," - ")</f>
        <v>-0.11562392036224374</v>
      </c>
      <c r="I18" s="860">
        <f>IF(ISNUMBER(((NºAsuntos!I18/NºAsuntos!G18)-Datos!BE18)/Datos!BE18),((NºAsuntos!I18/NºAsuntos!G18)-Datos!BE18)/Datos!BE18," - ")</f>
        <v>0.39897152603558622</v>
      </c>
      <c r="J18" s="860">
        <f>IF(ISNUMBER((('Resol  Asuntos'!D18/NºAsuntos!G18)-Datos!BF18)/Datos!BF18),(('Resol  Asuntos'!D18/NºAsuntos!G18)-Datos!BF18)/Datos!BF18," - ")</f>
        <v>0.12451015418139427</v>
      </c>
      <c r="K18" s="860">
        <f>IF(ISNUMBER((((NºAsuntos!C18+NºAsuntos!E18)/NºAsuntos!G18)-Datos!BG18)/Datos!BG18),(((NºAsuntos!C18+NºAsuntos!E18)/NºAsuntos!G18)-Datos!BG18)/Datos!BG18," - ")</f>
        <v>0.18968412057849604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0.21623207847740422</v>
      </c>
      <c r="C19" s="805">
        <f>IF(ISNUMBER(
   IF(J_V="SI",(Datos!J19-Datos!T19)/Datos!T19,(Datos!J19+Datos!Z19-(Datos!T19+Datos!AH19))/(Datos!T19+Datos!AH19))
     ),IF(J_V="SI",(Datos!J19-Datos!T19)/Datos!T19,(Datos!J19+Datos!Z19-(Datos!T19+Datos!AH19))/(Datos!T19+Datos!AH19))," - ")</f>
        <v>-3.2929399367755533E-3</v>
      </c>
      <c r="D19" s="805">
        <f>IF(ISNUMBER(
   IF(J_V="SI",(Datos!K19-Datos!U19)/Datos!U19,(Datos!K19+Datos!AA19-(Datos!U19+Datos!AI19))/(Datos!U19+Datos!AI19))
     ),IF(J_V="SI",(Datos!K19-Datos!U19)/Datos!U19,(Datos!K19+Datos!AA19-(Datos!U19+Datos!AI19))/(Datos!U19+Datos!AI19))," - ")</f>
        <v>-5.3207936098943573E-2</v>
      </c>
      <c r="E19" s="805">
        <f>IF(ISNUMBER(
   IF(J_V="SI",(Datos!L19-Datos!V19)/Datos!V19,(Datos!L19+Datos!AB19-(Datos!V19+Datos!AJ19))/(Datos!V19+Datos!AJ19))
     ),IF(J_V="SI",(Datos!L19-Datos!V19)/Datos!V19,(Datos!L19+Datos!AB19-(Datos!V19+Datos!AJ19))/(Datos!V19+Datos!AJ19))," - ")</f>
        <v>0.22227860948997716</v>
      </c>
      <c r="F19" s="806">
        <f>IF(ISNUMBER((Datos!M19-Datos!W19)/Datos!W19),(Datos!M19-Datos!W19)/Datos!W19," - ")</f>
        <v>3.2411820781696854E-2</v>
      </c>
      <c r="G19" s="807">
        <f>IF(ISNUMBER((Datos!N19-Datos!X19)/Datos!X19),(Datos!N19-Datos!X19)/Datos!X19," - ")</f>
        <v>-6.4508775928880782E-2</v>
      </c>
      <c r="H19" s="808">
        <f>IF(ISNUMBER((Tasas!B19-Datos!BD19)/Datos!BD19),(Tasas!B19-Datos!BD19)/Datos!BD19," - ")</f>
        <v>-5.0079906285605803E-2</v>
      </c>
      <c r="I19" s="809">
        <f>IF(ISNUMBER((Tasas!C19-Datos!BE19)/Datos!BE19),(Tasas!C19-Datos!BE19)/Datos!BE19," - ")</f>
        <v>0.29096837214059096</v>
      </c>
      <c r="J19" s="810">
        <f>IF(ISNUMBER((Tasas!D19-Datos!BF19)/Datos!BF19),(Tasas!D19-Datos!BF19)/Datos!BF19," - ")</f>
        <v>-0.12347696066240929</v>
      </c>
      <c r="K19" s="810">
        <f>IF(ISNUMBER((Tasas!E19-Datos!BG19)/Datos!BG19),(Tasas!E19-Datos!BG19)/Datos!BG19," - ")</f>
        <v>0.19439833757759256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7zvxKVytxNCCmDwBVv6su1zuEgFRmihjjP/Mzj3mlatGY0E1JWiEvQUNUlOrex+7oqkydmv0dfvQnSifKBDjw==" saltValue="4WBjRlBK1Ck+lrX27uEH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MARBELLA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0.9877253548139624</v>
      </c>
      <c r="C9" s="446">
        <f>IF(ISNUMBER(NºAsuntos!I9/NºAsuntos!G9),NºAsuntos!I9/NºAsuntos!G9," - ")</f>
        <v>4.0322330097087375</v>
      </c>
      <c r="D9" s="447">
        <f>IF(ISNUMBER('Resol  Asuntos'!D9/NºAsuntos!G9),'Resol  Asuntos'!D9/NºAsuntos!G9," - ")</f>
        <v>0.25592233009708737</v>
      </c>
      <c r="E9" s="448">
        <f>IF(ISNUMBER((NºAsuntos!C9+NºAsuntos!E9)/NºAsuntos!G9),(NºAsuntos!C9+NºAsuntos!E9)/NºAsuntos!G9," - ")</f>
        <v>5.0326213592233007</v>
      </c>
      <c r="G9" s="466"/>
    </row>
    <row r="10" spans="1:7">
      <c r="A10" s="405" t="str">
        <f>Datos!A10</f>
        <v>Jdos. Violencia contra la mujer</v>
      </c>
      <c r="B10" s="445">
        <f>IF(ISNUMBER(NºAsuntos!G10/NºAsuntos!E10),NºAsuntos!G10/NºAsuntos!E10," - ")</f>
        <v>0.6785714285714286</v>
      </c>
      <c r="C10" s="446">
        <f>IF(ISNUMBER(NºAsuntos!I10/NºAsuntos!G10),NºAsuntos!I10/NºAsuntos!G10," - ")</f>
        <v>4.2105263157894735</v>
      </c>
      <c r="D10" s="447">
        <f>IF(ISNUMBER('Resol  Asuntos'!D10/NºAsuntos!G10),'Resol  Asuntos'!D10/NºAsuntos!G10," - ")</f>
        <v>0.26315789473684209</v>
      </c>
      <c r="E10" s="448">
        <f>IF(ISNUMBER((NºAsuntos!C10+NºAsuntos!E10)/NºAsuntos!G10),(NºAsuntos!C10+NºAsuntos!E10)/NºAsuntos!G10," - ")</f>
        <v>6.2105263157894735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0.98444022770398487</v>
      </c>
      <c r="C13" s="862">
        <f>IF(ISNUMBER(NºAsuntos!I13/NºAsuntos!G13),NºAsuntos!I13/NºAsuntos!G13," - ")</f>
        <v>4.0335389360061678</v>
      </c>
      <c r="D13" s="863">
        <f>IF(ISNUMBER('Resol  Asuntos'!D13/NºAsuntos!G13),'Resol  Asuntos'!D13/NºAsuntos!G13," - ")</f>
        <v>0.25597532767925985</v>
      </c>
      <c r="E13" s="864">
        <f>IF(ISNUMBER((NºAsuntos!C13+NºAsuntos!E13)/NºAsuntos!G13),(NºAsuntos!C13+NºAsuntos!E13)/NºAsuntos!G13," - ")</f>
        <v>5.0412490362374713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0.96336206896551724</v>
      </c>
      <c r="C15" s="446">
        <f>IF(ISNUMBER(NºAsuntos!I15/NºAsuntos!G15),NºAsuntos!I15/NºAsuntos!G15," - ")</f>
        <v>0.85838926174496644</v>
      </c>
      <c r="D15" s="447">
        <f>IF(ISNUMBER('Resol  Asuntos'!D15/NºAsuntos!G15),'Resol  Asuntos'!D15/NºAsuntos!G15," - ")</f>
        <v>8.6353467561521249E-2</v>
      </c>
      <c r="E15" s="448">
        <f>IF(ISNUMBER((NºAsuntos!C15+NºAsuntos!E15)/NºAsuntos!G15),(NºAsuntos!C15+NºAsuntos!E15)/NºAsuntos!G15," - ")</f>
        <v>1.916331096196868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0.97602739726027399</v>
      </c>
      <c r="C17" s="446">
        <f>IF(ISNUMBER(NºAsuntos!I17/NºAsuntos!G17),NºAsuntos!I17/NºAsuntos!G17," - ")</f>
        <v>0.52982456140350875</v>
      </c>
      <c r="D17" s="447">
        <f>IF(ISNUMBER('Resol  Asuntos'!D17/NºAsuntos!G17),'Resol  Asuntos'!D17/NºAsuntos!G17," - ")</f>
        <v>0.11578947368421053</v>
      </c>
      <c r="E17" s="448">
        <f>IF(ISNUMBER((NºAsuntos!C17+NºAsuntos!E17)/NºAsuntos!G17),(NºAsuntos!C17+NºAsuntos!E17)/NºAsuntos!G17," - ")</f>
        <v>1.5087719298245614</v>
      </c>
      <c r="G17" s="466"/>
    </row>
    <row r="18" spans="1:7" ht="14.25" thickTop="1" thickBot="1">
      <c r="A18" s="851" t="str">
        <f>Datos!A18</f>
        <v>TOTAL</v>
      </c>
      <c r="B18" s="861">
        <f>IF(ISNUMBER(NºAsuntos!G18/NºAsuntos!E18),NºAsuntos!G18/NºAsuntos!E18," - ")</f>
        <v>0.96411192214111918</v>
      </c>
      <c r="C18" s="862">
        <f>IF(ISNUMBER(NºAsuntos!I18/NºAsuntos!G18),NºAsuntos!I18/NºAsuntos!G18," - ")</f>
        <v>0.83869610935856997</v>
      </c>
      <c r="D18" s="865">
        <f>IF(ISNUMBER('Resol  Asuntos'!D18/NºAsuntos!G18),'Resol  Asuntos'!D18/NºAsuntos!G18," - ")</f>
        <v>8.8117770767613041E-2</v>
      </c>
      <c r="E18" s="864">
        <f>IF(ISNUMBER((NºAsuntos!C18+NºAsuntos!E18)/NºAsuntos!G18),(NºAsuntos!C18+NºAsuntos!E18)/NºAsuntos!G18," - ")</f>
        <v>1.8919032597266037</v>
      </c>
      <c r="G18" s="466"/>
    </row>
    <row r="19" spans="1:7" ht="15.75" customHeight="1" thickTop="1" thickBot="1">
      <c r="A19" s="796" t="str">
        <f>Datos!A19</f>
        <v>TOTAL JURISDICCIONES</v>
      </c>
      <c r="B19" s="811">
        <f>IF(ISNUMBER(NºAsuntos!G19/NºAsuntos!E19),NºAsuntos!G19/NºAsuntos!E19," - ")</f>
        <v>0.97119069644509048</v>
      </c>
      <c r="C19" s="812">
        <f>IF(ISNUMBER(NºAsuntos!I19/NºAsuntos!G19),NºAsuntos!I19/NºAsuntos!G19," - ")</f>
        <v>1.966389985031977</v>
      </c>
      <c r="D19" s="813">
        <f>IF(ISNUMBER('Resol  Asuntos'!D19/NºAsuntos!G19),'Resol  Asuntos'!D19/NºAsuntos!G19," - ")</f>
        <v>0.14736698870594639</v>
      </c>
      <c r="E19" s="814">
        <f>IF(ISNUMBER((NºAsuntos!C19+NºAsuntos!E19)/NºAsuntos!G19),(NºAsuntos!C19+NºAsuntos!E19)/NºAsuntos!G19," - ")</f>
        <v>3.0035378963124235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pYiqvtp4lSPCJ6Q9dHctNhX2xzjs81Rhzs2flllATW9ryaDXww/ZyCT2sJdIxr/om/LUGiHgm5Y+d0hZvR6Mg==" saltValue="8Crp0x6xknXP6OW9nZnX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MARBELLA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692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587</v>
      </c>
      <c r="Y9" s="337">
        <f>SUM(W9:X9)</f>
        <v>587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10400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659</v>
      </c>
      <c r="AJ9" s="232" t="str">
        <f>IF(ISNUMBER(Datos!BW9),Datos!BW9," - ")</f>
        <v xml:space="preserve"> - </v>
      </c>
      <c r="AK9" s="231" t="str">
        <f>IF(ISNUMBER(Datos!BX9),Datos!BX9," - ")</f>
        <v xml:space="preserve"> - </v>
      </c>
      <c r="AL9" s="246">
        <f>IF(ISNUMBER(NºAsuntos!G9/NºAsuntos!E9),NºAsuntos!G9/NºAsuntos!E9," - ")</f>
        <v>0.9877253548139624</v>
      </c>
      <c r="AM9" s="263">
        <f>IF(ISNUMBER(((NºAsuntos!I9/NºAsuntos!G9)*11)/factor_trimestre),((NºAsuntos!I9/NºAsuntos!G9)*11)/factor_trimestre," - ")</f>
        <v>12.096699029126214</v>
      </c>
      <c r="AN9" s="247">
        <f>IF(ISNUMBER('Resol  Asuntos'!D9/NºAsuntos!G9),'Resol  Asuntos'!D9/NºAsuntos!G9," - ")</f>
        <v>0.25592233009708737</v>
      </c>
      <c r="AO9" s="248">
        <f>IF(ISNUMBER((NºAsuntos!C9+NºAsuntos!E9)/NºAsuntos!G9),(NºAsuntos!C9+NºAsuntos!E9)/NºAsuntos!G9," - ")</f>
        <v>5.0326213592233007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71</v>
      </c>
      <c r="G10" s="336">
        <f>IF(ISNUMBER(Datos!I10),Datos!I10," - ")</f>
        <v>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v>
      </c>
      <c r="X10" s="229">
        <f>IF(ISNUMBER(Datos!Q10),Datos!Q10," - ")</f>
        <v>1</v>
      </c>
      <c r="Y10" s="337">
        <f t="shared" ref="Y10:Y12" si="0">SUM(W10:X10)</f>
        <v>20</v>
      </c>
      <c r="Z10" s="338" t="str">
        <f>IF(ISNUMBER(Datos!CC10),Datos!CC10," - ")</f>
        <v xml:space="preserve"> - </v>
      </c>
      <c r="AA10" s="335">
        <f>IF(ISNUMBER(Datos!L10),Datos!L10,"-")</f>
        <v>80</v>
      </c>
      <c r="AB10" s="337">
        <f>IF(ISNUMBER(Datos!R10),Datos!R10," - ")</f>
        <v>140</v>
      </c>
      <c r="AC10" s="337">
        <f t="shared" ref="AC10:AC12" si="1">IF(ISNUMBER(AA10+AB10),AA10+AB10," - ")</f>
        <v>220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0.6785714285714286</v>
      </c>
      <c r="AM10" s="263">
        <f>IF(ISNUMBER(((NºAsuntos!I10/NºAsuntos!G10)*11)/factor_trimestre),((NºAsuntos!I10/NºAsuntos!G10)*11)/factor_trimestre," - ")</f>
        <v>12.631578947368419</v>
      </c>
      <c r="AN10" s="247">
        <f>IF(ISNUMBER('Resol  Asuntos'!D10/NºAsuntos!G10),'Resol  Asuntos'!D10/NºAsuntos!G10," - ")</f>
        <v>0.26315789473684209</v>
      </c>
      <c r="AO10" s="248">
        <f>IF(ISNUMBER((NºAsuntos!C10+NºAsuntos!E10)/NºAsuntos!G10),(NºAsuntos!C10+NºAsuntos!E10)/NºAsuntos!G10," - ")</f>
        <v>6.2105263157894735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71</v>
      </c>
      <c r="G13" s="869">
        <f t="shared" si="3"/>
        <v>90</v>
      </c>
      <c r="H13" s="868">
        <f t="shared" si="3"/>
        <v>0</v>
      </c>
      <c r="I13" s="870">
        <f t="shared" si="3"/>
        <v>0</v>
      </c>
      <c r="J13" s="870">
        <f t="shared" si="3"/>
        <v>0</v>
      </c>
      <c r="K13" s="870">
        <f t="shared" si="3"/>
        <v>0</v>
      </c>
      <c r="L13" s="870">
        <f t="shared" si="3"/>
        <v>696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v>
      </c>
      <c r="X13" s="870">
        <f t="shared" si="4"/>
        <v>588</v>
      </c>
      <c r="Y13" s="871">
        <f t="shared" si="4"/>
        <v>607</v>
      </c>
      <c r="Z13" s="871">
        <f t="shared" si="4"/>
        <v>0</v>
      </c>
      <c r="AA13" s="871">
        <f t="shared" si="4"/>
        <v>80</v>
      </c>
      <c r="AB13" s="871">
        <f t="shared" si="4"/>
        <v>10540</v>
      </c>
      <c r="AC13" s="871">
        <f t="shared" si="4"/>
        <v>220</v>
      </c>
      <c r="AD13" s="871">
        <f t="shared" si="4"/>
        <v>0</v>
      </c>
      <c r="AE13" s="875">
        <f t="shared" si="4"/>
        <v>0</v>
      </c>
      <c r="AF13" s="868">
        <f t="shared" si="4"/>
        <v>0</v>
      </c>
      <c r="AG13" s="876">
        <f t="shared" si="4"/>
        <v>0</v>
      </c>
      <c r="AH13" s="873">
        <f t="shared" si="4"/>
        <v>0</v>
      </c>
      <c r="AI13" s="868">
        <f t="shared" si="4"/>
        <v>664</v>
      </c>
      <c r="AJ13" s="870">
        <f t="shared" si="4"/>
        <v>0</v>
      </c>
      <c r="AK13" s="873">
        <f>SUBTOTAL(9,AK9:AK12)</f>
        <v>0</v>
      </c>
      <c r="AL13" s="877">
        <f>IF(ISNUMBER(NºAsuntos!G13/NºAsuntos!E13),NºAsuntos!G13/NºAsuntos!E13," - ")</f>
        <v>0.98444022770398487</v>
      </c>
      <c r="AM13" s="877">
        <f>IF(ISNUMBER(((NºAsuntos!I13/NºAsuntos!G13)*11)/factor_trimestre),((NºAsuntos!I13/NºAsuntos!G13)*11)/factor_trimestre," - ")</f>
        <v>12.100616808018502</v>
      </c>
      <c r="AN13" s="878">
        <f>IF(ISNUMBER('Resol  Asuntos'!D13/NºAsuntos!G13),'Resol  Asuntos'!D13/NºAsuntos!G13," - ")</f>
        <v>0.25597532767925985</v>
      </c>
      <c r="AO13" s="879">
        <f>IF(ISNUMBER((NºAsuntos!C13+NºAsuntos!E13)/NºAsuntos!G13),(NºAsuntos!C13+NºAsuntos!E13)/NºAsuntos!G13," - ")</f>
        <v>5.0412490362374713</v>
      </c>
      <c r="AP13" s="880" t="str">
        <f t="shared" si="2"/>
        <v xml:space="preserve"> - </v>
      </c>
      <c r="AQ13" s="880">
        <f>IF(ISNUMBER((H13-W13+K13)/(F13)),(H13-W13+K13)/(F13)," - ")</f>
        <v>-0.26760563380281688</v>
      </c>
      <c r="AR13" s="881">
        <f>IF(ISNUMBER((Datos!P13-Datos!Q13)/(Datos!R13-Datos!P13+Datos!Q13)),(Datos!P13-Datos!Q13)/(Datos!R13-Datos!P13+Datos!Q13)," - ")</f>
        <v>1.0352760736196318E-2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3667</v>
      </c>
      <c r="G15" s="336">
        <f>IF(ISNUMBER(IF(D_I="SI",Datos!I15,Datos!I15+Datos!AC15)),IF(D_I="SI",Datos!I15,Datos!I15+Datos!AC15)," - ")</f>
        <v>3926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4470</v>
      </c>
      <c r="X15" s="229">
        <f>IF(ISNUMBER(Datos!Q15),Datos!Q15," - ")</f>
        <v>99</v>
      </c>
      <c r="Y15" s="337">
        <f>SUM(W15)</f>
        <v>4470</v>
      </c>
      <c r="Z15" s="338" t="str">
        <f>IF(ISNUMBER(Datos!CC15),Datos!CC15," - ")</f>
        <v xml:space="preserve"> - </v>
      </c>
      <c r="AA15" s="335">
        <f>IF(ISNUMBER(IF(D_I="SI",Datos!L15,Datos!L15+Datos!AF15)),IF(D_I="SI",Datos!L15,Datos!L15+Datos!AF15)," - ")</f>
        <v>3837</v>
      </c>
      <c r="AB15" s="337">
        <f>IF(ISNUMBER(Datos!R15),Datos!R15," - ")</f>
        <v>293</v>
      </c>
      <c r="AC15" s="337">
        <f t="shared" ref="AC15:AC17" si="6">IF(ISNUMBER(AA15+AB15),AA15+AB15," - ")</f>
        <v>4130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386</v>
      </c>
      <c r="AJ15" s="234" t="str">
        <f>IF(ISNUMBER(Datos!BW15),Datos!BW15," - ")</f>
        <v xml:space="preserve"> - </v>
      </c>
      <c r="AK15" s="235" t="str">
        <f>IF(ISNUMBER(Datos!BX15),Datos!BX15," - ")</f>
        <v xml:space="preserve"> - </v>
      </c>
      <c r="AL15" s="246">
        <f>IF(ISNUMBER(NºAsuntos!G15/NºAsuntos!E15),NºAsuntos!G15/NºAsuntos!E15," - ")</f>
        <v>0.96336206896551724</v>
      </c>
      <c r="AM15" s="263">
        <f>IF(ISNUMBER(((NºAsuntos!I15/NºAsuntos!G15)*11)/factor_trimestre),((NºAsuntos!I15/NºAsuntos!G15)*11)/factor_trimestre," - ")</f>
        <v>2.5751677852348998</v>
      </c>
      <c r="AN15" s="247">
        <f>IF(ISNUMBER('Resol  Asuntos'!D15/NºAsuntos!G15),'Resol  Asuntos'!D15/NºAsuntos!G15," - ")</f>
        <v>8.6353467561521249E-2</v>
      </c>
      <c r="AO15" s="248">
        <f>IF(ISNUMBER((NºAsuntos!C15+NºAsuntos!E15)/NºAsuntos!G15),(NºAsuntos!C15+NºAsuntos!E15)/NºAsuntos!G15," - ")</f>
        <v>1.916331096196868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285</v>
      </c>
      <c r="X17" s="229">
        <f>IF(ISNUMBER(Datos!Q17),Datos!Q17," - ")</f>
        <v>6</v>
      </c>
      <c r="Y17" s="337">
        <f t="shared" si="7"/>
        <v>291</v>
      </c>
      <c r="Z17" s="338" t="str">
        <f>IF(ISNUMBER(Datos!CC17),Datos!CC17," - ")</f>
        <v xml:space="preserve"> - </v>
      </c>
      <c r="AA17" s="335">
        <f>IF(ISNUMBER(Datos!L17),Datos!L17,"-")</f>
        <v>151</v>
      </c>
      <c r="AB17" s="337">
        <f>IF(ISNUMBER(Datos!R17),Datos!R17," - ")</f>
        <v>3</v>
      </c>
      <c r="AC17" s="337">
        <f t="shared" si="6"/>
        <v>154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0.97602739726027399</v>
      </c>
      <c r="AM17" s="263">
        <f>IF(ISNUMBER(((NºAsuntos!I17/NºAsuntos!G17)*11)/factor_trimestre),((NºAsuntos!I17/NºAsuntos!G17)*11)/factor_trimestre," - ")</f>
        <v>1.5894736842105264</v>
      </c>
      <c r="AN17" s="247">
        <f>IF(ISNUMBER('Resol  Asuntos'!D17/NºAsuntos!G17),'Resol  Asuntos'!D17/NºAsuntos!G17," - ")</f>
        <v>0.11578947368421053</v>
      </c>
      <c r="AO17" s="248">
        <f>IF(ISNUMBER((NºAsuntos!C17+NºAsuntos!E17)/NºAsuntos!G17),(NºAsuntos!C17+NºAsuntos!E17)/NºAsuntos!G17," - ")</f>
        <v>1.5087719298245614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3667</v>
      </c>
      <c r="G18" s="869">
        <f>SUBTOTAL(9,G15:G17)</f>
        <v>4064</v>
      </c>
      <c r="H18" s="868">
        <f t="shared" ref="H18:O18" si="10">SUBTOTAL(9,H14:H17)</f>
        <v>0</v>
      </c>
      <c r="I18" s="870">
        <f t="shared" si="10"/>
        <v>0</v>
      </c>
      <c r="J18" s="870">
        <f t="shared" si="10"/>
        <v>0</v>
      </c>
      <c r="K18" s="870">
        <f t="shared" si="10"/>
        <v>0</v>
      </c>
      <c r="L18" s="870">
        <f t="shared" si="10"/>
        <v>101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4755</v>
      </c>
      <c r="X18" s="870">
        <f t="shared" si="11"/>
        <v>105</v>
      </c>
      <c r="Y18" s="871">
        <f t="shared" si="11"/>
        <v>4761</v>
      </c>
      <c r="Z18" s="871">
        <f t="shared" si="11"/>
        <v>0</v>
      </c>
      <c r="AA18" s="871">
        <f t="shared" si="11"/>
        <v>3988</v>
      </c>
      <c r="AB18" s="871">
        <f t="shared" si="11"/>
        <v>296</v>
      </c>
      <c r="AC18" s="871">
        <f t="shared" si="11"/>
        <v>4284</v>
      </c>
      <c r="AD18" s="871">
        <f t="shared" si="11"/>
        <v>0</v>
      </c>
      <c r="AE18" s="875">
        <f t="shared" si="11"/>
        <v>0</v>
      </c>
      <c r="AF18" s="868">
        <f t="shared" si="11"/>
        <v>0</v>
      </c>
      <c r="AG18" s="876">
        <f t="shared" si="11"/>
        <v>0</v>
      </c>
      <c r="AH18" s="873">
        <f t="shared" si="11"/>
        <v>0</v>
      </c>
      <c r="AI18" s="868">
        <f t="shared" si="11"/>
        <v>419</v>
      </c>
      <c r="AJ18" s="870">
        <f t="shared" si="11"/>
        <v>0</v>
      </c>
      <c r="AK18" s="873">
        <f t="shared" si="11"/>
        <v>0</v>
      </c>
      <c r="AL18" s="877">
        <f>IF(ISNUMBER(NºAsuntos!G18/NºAsuntos!E18),NºAsuntos!G18/NºAsuntos!E18," - ")</f>
        <v>0.96411192214111918</v>
      </c>
      <c r="AM18" s="877">
        <f>IF(ISNUMBER(((NºAsuntos!I18/NºAsuntos!G18)*11)/factor_trimestre),((NºAsuntos!I18/NºAsuntos!G18)*11)/factor_trimestre," - ")</f>
        <v>2.51608832807571</v>
      </c>
      <c r="AN18" s="878">
        <f>IF(ISNUMBER('Resol  Asuntos'!D18/NºAsuntos!G18),'Resol  Asuntos'!D18/NºAsuntos!G18," - ")</f>
        <v>8.8117770767613041E-2</v>
      </c>
      <c r="AO18" s="879">
        <f>IF(ISNUMBER((NºAsuntos!C18+NºAsuntos!E18)/NºAsuntos!G18),(NºAsuntos!C18+NºAsuntos!E18)/NºAsuntos!G18," - ")</f>
        <v>1.8919032597266037</v>
      </c>
      <c r="AP18" s="880" t="str">
        <f t="shared" si="2"/>
        <v xml:space="preserve"> - </v>
      </c>
      <c r="AQ18" s="880">
        <f>IF(ISNUMBER((H18-W18+K18)/(F18)),(H18-W18+K18)/(F18)," - ")</f>
        <v>-1.2967002999727297</v>
      </c>
      <c r="AR18" s="881">
        <f>IF(ISNUMBER((Datos!P18-Datos!Q18)/(Datos!R18-Datos!P18+Datos!Q18)),(Datos!P18-Datos!Q18)/(Datos!R18-Datos!P18+Datos!Q18)," - ")</f>
        <v>-1.3333333333333334E-2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3738</v>
      </c>
      <c r="G19" s="824">
        <f t="shared" si="13"/>
        <v>4154</v>
      </c>
      <c r="H19" s="823">
        <f t="shared" si="13"/>
        <v>0</v>
      </c>
      <c r="I19" s="825">
        <f t="shared" si="13"/>
        <v>0</v>
      </c>
      <c r="J19" s="825">
        <f t="shared" si="13"/>
        <v>0</v>
      </c>
      <c r="K19" s="884">
        <f t="shared" si="13"/>
        <v>0</v>
      </c>
      <c r="L19" s="825">
        <f t="shared" si="13"/>
        <v>797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4774</v>
      </c>
      <c r="X19" s="824">
        <f t="shared" si="14"/>
        <v>693</v>
      </c>
      <c r="Y19" s="831">
        <f t="shared" si="14"/>
        <v>5368</v>
      </c>
      <c r="Z19" s="831">
        <f t="shared" si="14"/>
        <v>0</v>
      </c>
      <c r="AA19" s="831">
        <f t="shared" si="14"/>
        <v>4068</v>
      </c>
      <c r="AB19" s="831">
        <f t="shared" si="14"/>
        <v>10836</v>
      </c>
      <c r="AC19" s="831">
        <f t="shared" si="14"/>
        <v>4504</v>
      </c>
      <c r="AD19" s="831">
        <f t="shared" si="14"/>
        <v>0</v>
      </c>
      <c r="AE19" s="833">
        <f t="shared" si="14"/>
        <v>0</v>
      </c>
      <c r="AF19" s="834">
        <f t="shared" si="14"/>
        <v>0</v>
      </c>
      <c r="AG19" s="835">
        <f t="shared" si="14"/>
        <v>0</v>
      </c>
      <c r="AH19" s="833">
        <f t="shared" si="14"/>
        <v>0</v>
      </c>
      <c r="AI19" s="823">
        <f t="shared" si="14"/>
        <v>1083</v>
      </c>
      <c r="AJ19" s="823">
        <f t="shared" si="14"/>
        <v>0</v>
      </c>
      <c r="AK19" s="833">
        <f t="shared" si="14"/>
        <v>0</v>
      </c>
      <c r="AL19" s="887">
        <f>IF(ISNUMBER(NºAsuntos!G19/NºAsuntos!E19),NºAsuntos!G19/NºAsuntos!E19," - ")</f>
        <v>0.97119069644509048</v>
      </c>
      <c r="AM19" s="888">
        <f>IF(ISNUMBER(((NºAsuntos!I19/NºAsuntos!G19)*11)/factor_trimestre),((NºAsuntos!I19/NºAsuntos!G19)*11)/factor_trimestre," - ")</f>
        <v>5.8991699550959309</v>
      </c>
      <c r="AN19" s="888">
        <f>IF(ISNUMBER('Resol  Asuntos'!D19/NºAsuntos!G19),'Resol  Asuntos'!D19/NºAsuntos!G19," - ")</f>
        <v>0.14736698870594639</v>
      </c>
      <c r="AO19" s="889">
        <f>IF(ISNUMBER((NºAsuntos!C19+NºAsuntos!E19)/NºAsuntos!G19),(NºAsuntos!C19+NºAsuntos!E19)/NºAsuntos!G19," - ")</f>
        <v>3.0035378963124235</v>
      </c>
      <c r="AP19" s="890" t="str">
        <f t="shared" si="2"/>
        <v xml:space="preserve"> - </v>
      </c>
      <c r="AQ19" s="891">
        <f>IF(OR(ISNUMBER(FIND("01",Criterios!A8,1)),ISNUMBER(FIND("02",Criterios!A8,1)),ISNUMBER(FIND("03",Criterios!A8,1)),ISNUMBER(FIND("04",Criterios!A8,1))),(I19-W19+K19)/(F19-K19),(H19-W19+K19)/(F19-K19))</f>
        <v>-1.2771535580524345</v>
      </c>
      <c r="AR19" s="892">
        <f>IF(ISNUMBER((Datos!P19-Datos!Q19)/(Datos!R19-Datos!P19+Datos!Q19)),(Datos!P19-Datos!Q19)/(Datos!R19-Datos!P19+Datos!Q19)," - ")</f>
        <v>9.6906448005963479E-3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1661.6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3.6742346141747673</v>
      </c>
      <c r="F21" s="255">
        <f>IF(ISNUMBER(STDEV(F8:F18)),STDEV(F8:F18),"-")</f>
        <v>2076.1515680058942</v>
      </c>
      <c r="G21" s="256">
        <f>IF(ISNUMBER(STDEV(G8:G18)),STDEV(G8:G18),"-")</f>
        <v>2130.7418426454201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2471.8419852409661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289.45535061560014</v>
      </c>
      <c r="AJ21" s="255">
        <f t="shared" si="18"/>
        <v>0</v>
      </c>
      <c r="AK21" s="257">
        <f t="shared" si="18"/>
        <v>0</v>
      </c>
      <c r="AL21" s="252">
        <f t="shared" si="18"/>
        <v>0.12148814236576279</v>
      </c>
      <c r="AM21" s="253">
        <f t="shared" si="18"/>
        <v>5.5188021445000564</v>
      </c>
      <c r="AN21" s="253">
        <f t="shared" si="18"/>
        <v>8.9163624319238174E-2</v>
      </c>
      <c r="AO21" s="254">
        <f t="shared" si="18"/>
        <v>2.0528039533270968</v>
      </c>
      <c r="AP21" s="294" t="str">
        <f t="shared" si="18"/>
        <v>-</v>
      </c>
      <c r="AQ21" s="295">
        <f t="shared" si="18"/>
        <v>0.72767981693165174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wk2/1IYLMRpJwe+auB2sjRUG9sF5M3Tjgs0OCi2HrkhSs/NXzy9eOxpf9nDwG7J/cUnWAEltbBFEH0rJVMPVw==" saltValue="BHGeThFP8p3h9u3g7Nc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MARBELLA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4.4374009508716325E-2</v>
      </c>
      <c r="I9" s="353">
        <f>IF(ISNUMBER((Tasas!C9-Datos!BE9)/Datos!BE9),(Tasas!C9-Datos!BE9)/Datos!BE9," - ")</f>
        <v>0.15529742227223933</v>
      </c>
      <c r="J9" s="352">
        <f>IF(ISNUMBER((Tasas!D9-Datos!BF9)/Datos!BF9),(Tasas!D9-Datos!BF9)/Datos!BF9," - ")</f>
        <v>-0.2925348890664507</v>
      </c>
      <c r="K9" s="354">
        <f>IF(ISNUMBER((Tasas!E9-Datos!BG9)/Datos!BG9),(Tasas!E9-Datos!BG9)/Datos!BG9," - ")</f>
        <v>0.12253139023155944</v>
      </c>
      <c r="M9" t="e">
        <f>IF(Monitorios="SI",Datos!CE9,0)</f>
        <v>#REF!</v>
      </c>
      <c r="N9" t="e">
        <f>IF(Monitorios="SI",Datos!CF9,0)</f>
        <v>#REF!</v>
      </c>
      <c r="O9" t="e">
        <f>IF(Monitorios="SI",Datos!CG9,0)</f>
        <v>#REF!</v>
      </c>
      <c r="P9" t="e">
        <f>IF(Monitorios="SI",Datos!CH9,0)</f>
        <v>#REF!</v>
      </c>
      <c r="Q9">
        <f>IF(J_V="SI",0,Datos!AG9)</f>
        <v>287</v>
      </c>
      <c r="R9">
        <f>IF(J_V="SI",0,Datos!AH9)</f>
        <v>218</v>
      </c>
      <c r="S9">
        <f>IF(J_V="SI",0,Datos!AI9)</f>
        <v>172</v>
      </c>
      <c r="T9">
        <f>IF(J_V="SI",0,Datos!AJ9)</f>
        <v>333</v>
      </c>
    </row>
    <row r="10" spans="2:20" ht="14.25">
      <c r="B10" s="278" t="s">
        <v>249</v>
      </c>
      <c r="C10" s="7" t="str">
        <f>Datos!A10</f>
        <v>Jdos. Violencia contra la mujer</v>
      </c>
      <c r="D10" s="355">
        <f>IF(ISNUMBER((Datos!I10-Datos!S10)/Datos!S10),(Datos!I10-Datos!S10)/Datos!S10," - ")</f>
        <v>0.21621621621621623</v>
      </c>
      <c r="E10" s="351">
        <f>IF(ISNUMBER((Datos!J10-Datos!T10)/Datos!T10),(Datos!J10-Datos!T10)/Datos!T10," - ")</f>
        <v>-6.6666666666666666E-2</v>
      </c>
      <c r="F10" s="351">
        <f>IF(ISNUMBER((Datos!K10-Datos!U10)/Datos!U10),(Datos!K10-Datos!U10)/Datos!U10," - ")</f>
        <v>0.35714285714285715</v>
      </c>
      <c r="G10" s="352">
        <f>IF(ISNUMBER((Datos!L10-Datos!V10)/Datos!V10),(Datos!L10-Datos!V10)/Datos!V10," - ")</f>
        <v>-0.1111111111111111</v>
      </c>
      <c r="H10" s="233">
        <f>IF(ISNUMBER((Datos!M10-Datos!W10)/Datos!W10),(Datos!M10-Datos!W10)/Datos!W10," - ")</f>
        <v>0.66666666666666663</v>
      </c>
      <c r="I10" s="353">
        <f>IF(ISNUMBER((Tasas!C10-Datos!BE10)/Datos!BE10),(Tasas!C10-Datos!BE10)/Datos!BE10," - ")</f>
        <v>-0.34502923976608191</v>
      </c>
      <c r="J10" s="352">
        <f>IF(ISNUMBER((Tasas!D10-Datos!BF10)/Datos!BF10),(Tasas!D10-Datos!BF10)/Datos!BF10," - ")</f>
        <v>0.22807017543859648</v>
      </c>
      <c r="K10" s="354">
        <f>IF(ISNUMBER((Tasas!E10-Datos!BG10)/Datos!BG10),(Tasas!E10-Datos!BG10)/Datos!BG10," - ")</f>
        <v>-0.16396761133603244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4.7318611987381701E-2</v>
      </c>
      <c r="I13" s="360">
        <f>IF(ISNUMBER((Tasas!C13-Datos!BE13)/Datos!BE13),(Tasas!C13-Datos!BE13)/Datos!BE13," - ")</f>
        <v>0.15017426181674493</v>
      </c>
      <c r="J13" s="358">
        <f>IF(ISNUMBER((Tasas!D13-Datos!BF13)/Datos!BF13),(Tasas!D13-Datos!BF13)/Datos!BF13," - ")</f>
        <v>-0.29074701341903952</v>
      </c>
      <c r="K13" s="361">
        <f>IF(ISNUMBER((Tasas!E13-Datos!BG13)/Datos!BG13),(Tasas!E13-Datos!BG13)/Datos!BG13," - ")</f>
        <v>0.12027756360832696</v>
      </c>
      <c r="M13" t="e">
        <f>IF(Monitorios="SI",Datos!CE13,0)</f>
        <v>#REF!</v>
      </c>
      <c r="N13" t="e">
        <f>IF(Monitorios="SI",Datos!CF13,0)</f>
        <v>#REF!</v>
      </c>
      <c r="O13" t="e">
        <f>IF(Monitorios="SI",Datos!CG13,0)</f>
        <v>#REF!</v>
      </c>
      <c r="P13" t="e">
        <f>IF(Monitorios="SI",Datos!CH13,0)</f>
        <v>#REF!</v>
      </c>
      <c r="Q13">
        <f>IF(J_V="SI",0,Datos!AG13)</f>
        <v>287</v>
      </c>
      <c r="R13">
        <f>IF(J_V="SI",0,Datos!AH13)</f>
        <v>218</v>
      </c>
      <c r="S13">
        <f>IF(J_V="SI",0,Datos!AI13)</f>
        <v>172</v>
      </c>
      <c r="T13">
        <f>IF(J_V="SI",0,Datos!AJ13)</f>
        <v>333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0.13435423288067033</v>
      </c>
      <c r="E15" s="351">
        <f>IF(ISNUMBER(
   IF(D_I="SI",(Datos!J15-Datos!T15)/Datos!T15,(Datos!J15+Datos!AD15-(Datos!T15+Datos!AL15))/(Datos!T15+Datos!AL15))
     ),IF(D_I="SI",(Datos!J15-Datos!T15)/Datos!T15,(Datos!J15+Datos!AD15-(Datos!T15+Datos!AL15))/(Datos!T15+Datos!AL15))," - ")</f>
        <v>1.8884497145366712E-2</v>
      </c>
      <c r="F15" s="351">
        <f>IF(ISNUMBER(
   IF(D_I="SI",(Datos!K15-Datos!U15)/Datos!U15,(Datos!K15+Datos!AE15-(Datos!U15+Datos!AM15))/(Datos!U15+Datos!AM15))
     ),IF(D_I="SI",(Datos!K15-Datos!U15)/Datos!U15,(Datos!K15+Datos!AE15-(Datos!U15+Datos!AM15))/(Datos!U15+Datos!AM15))," - ")</f>
        <v>-0.1045673076923077</v>
      </c>
      <c r="G15" s="352">
        <f>IF(ISNUMBER(
   IF(D_I="SI",(Datos!L15-Datos!V15)/Datos!V15,(Datos!L15+Datos!AF15-(Datos!V15+Datos!AN15))/(Datos!V15+Datos!AN15))
     ),IF(D_I="SI",(Datos!L15-Datos!V15)/Datos!V15,(Datos!L15+Datos!AF15-(Datos!V15+Datos!AN15))/(Datos!V15+Datos!AN15))," - ")</f>
        <v>0.25228459530026109</v>
      </c>
      <c r="H15" s="233">
        <f>IF(ISNUMBER((Datos!M15-Datos!W15)/Datos!W15),(Datos!M15-Datos!W15)/Datos!W15," - ")</f>
        <v>2.5974025974025974E-3</v>
      </c>
      <c r="I15" s="353">
        <f>IF(ISNUMBER((Tasas!C15-Datos!BE15)/Datos!BE15),(Tasas!C15-Datos!BE15)/Datos!BE15," - ")</f>
        <v>0.39852454132861365</v>
      </c>
      <c r="J15" s="352">
        <f>IF(ISNUMBER((Tasas!D15-Datos!BF15)/Datos!BF15),(Tasas!D15-Datos!BF15)/Datos!BF15," - ")</f>
        <v>0.11967924692756898</v>
      </c>
      <c r="K15" s="354">
        <f>IF(ISNUMBER((Tasas!E15-Datos!BG15)/Datos!BG15),(Tasas!E15-Datos!BG15)/Datos!BG15," - ")</f>
        <v>0.19355269272798062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0.33980582524271846</v>
      </c>
      <c r="E17" s="351">
        <f>IF(ISNUMBER(
   IF(D_I="SI",(Datos!J17-Datos!T17)/Datos!T17,(Datos!J17+Datos!AD17-(Datos!T17+Datos!AL17))/(Datos!T17+Datos!AL17))
     ),IF(D_I="SI",(Datos!J17-Datos!T17)/Datos!T17,(Datos!J17+Datos!AD17-(Datos!T17+Datos!AL17))/(Datos!T17+Datos!AL17))," - ")</f>
        <v>-3.9473684210526314E-2</v>
      </c>
      <c r="F17" s="351">
        <f>IF(ISNUMBER(
   IF(D_I="SI",(Datos!K17-Datos!U17)/Datos!U17,(Datos!K17+Datos!AE17-(Datos!U17+Datos!AM17))/(Datos!U17+Datos!AM17))
     ),IF(D_I="SI",(Datos!K17-Datos!U17)/Datos!U17,(Datos!K17+Datos!AE17-(Datos!U17+Datos!AM17))/(Datos!U17+Datos!AM17))," - ")</f>
        <v>-6.25E-2</v>
      </c>
      <c r="G17" s="352">
        <f>IF(ISNUMBER(
   IF(D_I="SI",(Datos!L17-Datos!V17)/Datos!V17,(Datos!L17+Datos!AF17-(Datos!V17+Datos!AN17))/(Datos!V17+Datos!AN17))
     ),IF(D_I="SI",(Datos!L17-Datos!V17)/Datos!V17,(Datos!L17+Datos!AF17-(Datos!V17+Datos!AN17))/(Datos!V17+Datos!AN17))," - ")</f>
        <v>0.36036036036036034</v>
      </c>
      <c r="H17" s="233">
        <f>IF(ISNUMBER((Datos!M17-Datos!W17)/Datos!W17),(Datos!M17-Datos!W17)/Datos!W17," - ")</f>
        <v>0.1</v>
      </c>
      <c r="I17" s="353">
        <f>IF(ISNUMBER((Tasas!C17-Datos!BE17)/Datos!BE17),(Tasas!C17-Datos!BE17)/Datos!BE17," - ")</f>
        <v>0.45105105105105103</v>
      </c>
      <c r="J17" s="352">
        <f>IF(ISNUMBER((Tasas!D17-Datos!BF17)/Datos!BF17),(Tasas!D17-Datos!BF17)/Datos!BF17," - ")</f>
        <v>0.17333333333333331</v>
      </c>
      <c r="K17" s="354">
        <f>IF(ISNUMBER((Tasas!E17-Datos!BG17)/Datos!BG17),(Tasas!E17-Datos!BG17)/Datos!BG17," - ")</f>
        <v>0.12694512694512688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0.14029180695847362</v>
      </c>
      <c r="E18" s="357">
        <f>IF(ISNUMBER(
   IF(D_I="SI",(Datos!J18-Datos!T18)/Datos!T18,(Datos!J18+Datos!AD18-(Datos!T18+Datos!AL18))/(Datos!T18+Datos!AL18))
     ),IF(D_I="SI",(Datos!J18-Datos!T18)/Datos!T18,(Datos!J18+Datos!AD18-(Datos!T18+Datos!AL18))/(Datos!T18+Datos!AL18))," - ")</f>
        <v>1.5232606010703994E-2</v>
      </c>
      <c r="F18" s="357">
        <f>IF(ISNUMBER(
   IF(D_I="SI",(Datos!K18-Datos!U18)/Datos!U18,(Datos!K18+Datos!AE18-(Datos!U18+Datos!AM18))/(Datos!U18+Datos!AM18))
     ),IF(D_I="SI",(Datos!K18-Datos!U18)/Datos!U18,(Datos!K18+Datos!AE18-(Datos!U18+Datos!AM18))/(Datos!U18+Datos!AM18))," - ")</f>
        <v>-0.10215256797583082</v>
      </c>
      <c r="G18" s="358">
        <f>IF(ISNUMBER(
   IF(D_I="SI",(Datos!L18-Datos!V18)/Datos!V18,(Datos!L18+Datos!AF18-(Datos!V18+Datos!AN18))/(Datos!V18+Datos!AN18))
     ),IF(D_I="SI",(Datos!L18-Datos!V18)/Datos!V18,(Datos!L18+Datos!AF18-(Datos!V18+Datos!AN18))/(Datos!V18+Datos!AN18))," - ")</f>
        <v>0.25606299212598427</v>
      </c>
      <c r="H18" s="359">
        <f>IF(ISNUMBER((Datos!M18-Datos!W18)/Datos!W18),(Datos!M18-Datos!W18)/Datos!W18," - ")</f>
        <v>9.6385542168674707E-3</v>
      </c>
      <c r="I18" s="360">
        <f>IF(ISNUMBER((Tasas!C18-Datos!BE18)/Datos!BE18),(Tasas!C18-Datos!BE18)/Datos!BE18," - ")</f>
        <v>0.39897152603558622</v>
      </c>
      <c r="J18" s="358">
        <f>IF(ISNUMBER((Tasas!D18-Datos!BF18)/Datos!BF18),(Tasas!D18-Datos!BF18)/Datos!BF18," - ")</f>
        <v>0.12451015418139427</v>
      </c>
      <c r="K18" s="361">
        <f>IF(ISNUMBER((Tasas!E18-Datos!BG18)/Datos!BG18),(Tasas!E18-Datos!BG18)/Datos!BG18," - ")</f>
        <v>0.18968412057849604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0.21623207847740422</v>
      </c>
      <c r="E19" s="366">
        <f>IF(ISNUMBER(
   IF(J_V="SI",(Datos!J19-Datos!T19)/Datos!T19,(Datos!J19+Datos!Z19-(Datos!T19+Datos!AH19))/(Datos!T19+Datos!AH19))
     ),IF(J_V="SI",(Datos!J19-Datos!T19)/Datos!T19,(Datos!J19+Datos!Z19-(Datos!T19+Datos!AH19))/(Datos!T19+Datos!AH19))," - ")</f>
        <v>-3.2929399367755533E-3</v>
      </c>
      <c r="F19" s="366">
        <f>IF(ISNUMBER(
   IF(J_V="SI",(Datos!K19-Datos!U19)/Datos!U19,(Datos!K19+Datos!AA19-(Datos!U19+Datos!AI19))/(Datos!U19+Datos!AI19))
     ),IF(J_V="SI",(Datos!K19-Datos!U19)/Datos!U19,(Datos!K19+Datos!AA19-(Datos!U19+Datos!AI19))/(Datos!U19+Datos!AI19))," - ")</f>
        <v>-5.3207936098943573E-2</v>
      </c>
      <c r="G19" s="367">
        <f>IF(ISNUMBER(
   IF(J_V="SI",(Datos!L19-Datos!V19)/Datos!V19,(Datos!L19+Datos!AB19-(Datos!V19+Datos!AJ19))/(Datos!V19+Datos!AJ19))
     ),IF(J_V="SI",(Datos!L19-Datos!V19)/Datos!V19,(Datos!L19+Datos!AB19-(Datos!V19+Datos!AJ19))/(Datos!V19+Datos!AJ19))," - ")</f>
        <v>0.22227860948997716</v>
      </c>
      <c r="H19" s="368">
        <f>IF(ISNUMBER((Datos!M19-Datos!W19)/Datos!W19),(Datos!M19-Datos!W19)/Datos!W19," - ")</f>
        <v>3.2411820781696854E-2</v>
      </c>
      <c r="I19" s="365">
        <f>IF(ISNUMBER((Tasas!C19-Datos!BE19)/Datos!BE19),(Tasas!C19-Datos!BE19)/Datos!BE19," - ")</f>
        <v>0.29096837214059096</v>
      </c>
      <c r="J19" s="366">
        <f>IF(ISNUMBER((Tasas!D19-Datos!BF19)/Datos!BF19),(Tasas!D19-Datos!BF19)/Datos!BF19," - ")</f>
        <v>-0.12347696066240929</v>
      </c>
      <c r="K19" s="367">
        <f>IF(ISNUMBER((Tasas!E19-Datos!BG19)/Datos!BG19),(Tasas!E19-Datos!BG19)/Datos!BG19," - ")</f>
        <v>0.19439833757759256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9.5652037257467154E-2</v>
      </c>
      <c r="E21" s="281">
        <f t="shared" si="1"/>
        <v>4.2009664185093415E-2</v>
      </c>
      <c r="F21" s="281">
        <f t="shared" si="1"/>
        <v>0.22427225026916642</v>
      </c>
      <c r="G21" s="282">
        <f t="shared" si="1"/>
        <v>0.20650488255611443</v>
      </c>
      <c r="H21" s="288">
        <f t="shared" si="1"/>
        <v>0.25784860532346382</v>
      </c>
      <c r="I21" s="280">
        <f t="shared" si="1"/>
        <v>0.29784311979669409</v>
      </c>
      <c r="J21" s="281">
        <f t="shared" si="1"/>
        <v>0.23721286932538094</v>
      </c>
      <c r="K21" s="282">
        <f t="shared" si="1"/>
        <v>0.13273963179539056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uUEawEyfYCOqlGLBDZ4Yh6OzoyLGtw8zHs1Q/azKgxHI4bquE4rD75/mlmnyZ3aFhG2bLhYZ4nnROgnuhWwTA==" saltValue="i2Xns0H2asLKf+cvSQ5S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